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<sst xmlns="http://schemas.openxmlformats.org/spreadsheetml/2006/main" count="2443" uniqueCount="314">
  <si>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</si>
  <si>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</si>
  <si>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</si>
  <si>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</si>
  <si>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</si>
  <si>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</si>
  <si>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</si>
  <si>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</si>
  <si>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</si>
  <si>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</si>
  <si>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</si>
  <si>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</si>
  <si>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</si>
  <si>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</si>
  <si>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</si>
  <si>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</si>
  <si>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</si>
  <si>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</si>
  <si>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</si>
  <si>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</si>
  <si>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</si>
  <si>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</si>
  <si>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</si>
  <si>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</si>
  <si>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</si>
  <si>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</si>
  <si>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</si>
  <si>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</si>
  <si>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</si>
  <si>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</si>
  <si>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</si>
  <si>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</si>
  <si>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</si>
  <si>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</si>
  <si>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</si>
  <si>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</si>
  <si>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</si>
  <si>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</si>
  <si>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</si>
  <si>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</si>
  <si>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</si>
  <si>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</si>
  <si>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</si>
  <si>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</si>
  <si>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</si>
  <si>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</si>
  <si>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</si>
  <si>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</si>
  <si>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</si>
  <si>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</si>
  <si>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</si>
  <si>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</si>
  <si>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</si>
  <si>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</si>
  <si>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</si>
  <si>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</si>
  <si>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</si>
  <si>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</si>
  <si>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</si>
  <si>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</si>
  <si>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</si>
  <si>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</si>
  <si>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</si>
  <si>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</si>
  <si>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</si>
  <si>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</si>
  <si>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</si>
  <si>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</si>
  <si>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</si>
  <si>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</si>
  <si>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</si>
  <si>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</si>
  <si>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</si>
  <si>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</si>
  <si>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</si>
  <si>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</si>
  <si>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</si>
  <si>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</si>
  <si>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</si>
  <si>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</si>
  <si>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</si>
  <si>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</si>
  <si>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</si>
  <si>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</si>
  <si>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</si>
  <si>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</si>
  <si>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</si>
  <si>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</si>
  <si>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</si>
  <si>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</si>
  <si>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</si>
  <si>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</si>
  <si>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</si>
  <si>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</si>
  <si>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</si>
  <si>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</si>
  <si>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</si>
  <si>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</si>
  <si>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</si>
  <si>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</si>
  <si>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</si>
  <si>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</si>
  <si>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</si>
  <si>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</si>
  <si>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</si>
  <si>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</si>
  <si>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</si>
  <si>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</si>
  <si>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</si>
  <si>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</si>
  <si>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</si>
  <si>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</si>
  <si>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</si>
  <si>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</si>
  <si>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</si>
  <si>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</si>
  <si>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</si>
  <si>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</si>
  <si>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</si>
  <si>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</si>
  <si>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</si>
  <si>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</si>
  <si>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</si>
  <si>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</si>
  <si>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</si>
  <si>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</si>
  <si>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</si>
  <si>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</si>
  <si>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</si>
  <si>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</si>
  <si>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</si>
  <si>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</si>
  <si>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</si>
  <si>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</si>
  <si>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</si>
  <si>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</si>
  <si>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</si>
  <si>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</si>
  <si>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</si>
  <si>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</si>
  <si>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</si>
  <si>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</si>
  <si>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</si>
  <si>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</si>
  <si>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</si>
  <si>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</si>
  <si>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</si>
  <si>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</si>
  <si>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</si>
  <si>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</si>
  <si>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</si>
  <si>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</si>
  <si>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</si>
  <si>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</si>
  <si>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</si>
  <si>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</si>
  <si>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</si>
  <si>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</si>
  <si>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</si>
  <si>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</si>
  <si>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</si>
  <si>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</si>
  <si>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</si>
  <si>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</si>
  <si>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</si>
  <si>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</si>
  <si>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</si>
  <si>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</si>
  <si>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</si>
  <si>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</si>
  <si>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</si>
  <si>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</si>
  <si>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</si>
  <si>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</si>
  <si>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</si>
  <si>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</si>
  <si>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</si>
  <si>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</si>
  <si>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</si>
  <si>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</si>
  <si>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</si>
  <si>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</si>
  <si>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</si>
  <si>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</si>
  <si>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</si>
  <si>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</si>
  <si>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</si>
  <si>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</si>
  <si>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</si>
  <si>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</si>
  <si>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</si>
  <si>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</si>
  <si>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</si>
  <si>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</si>
  <si>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</si>
  <si>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</si>
  <si>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</si>
  <si>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</si>
  <si>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</si>
  <si>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</si>
  <si>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</si>
  <si>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</si>
  <si>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</si>
  <si>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</si>
  <si>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</si>
  <si>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</si>
  <si>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</si>
  <si>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</si>
  <si>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</si>
  <si>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</si>
  <si>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</si>
  <si>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</si>
  <si>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</si>
  <si>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</si>
  <si>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</si>
  <si>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</si>
  <si>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</si>
  <si>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</si>
  <si>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</si>
  <si>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</si>
  <si>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</si>
  <si>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</si>
  <si>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</si>
  <si>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</si>
  <si>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</si>
  <si>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</si>
  <si>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</si>
  <si>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</si>
  <si>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</si>
  <si>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</si>
  <si>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</si>
  <si>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</si>
  <si>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</si>
  <si>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</si>
  <si>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</si>
  <si>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</si>
  <si>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</si>
  <si>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</si>
  <si>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</si>
  <si>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</si>
  <si>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</si>
  <si>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</si>
  <si>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</si>
  <si>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</si>
  <si>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</si>
  <si>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</si>
  <si>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</si>
  <si>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</si>
  <si>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</si>
  <si>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</si>
  <si>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</si>
  <si>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</si>
  <si>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</si>
  <si>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</si>
  <si>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</si>
  <si>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</si>
  <si>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</si>
  <si>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</si>
  <si>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</si>
  <si>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</si>
  <si>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</si>
  <si>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</si>
  <si>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</si>
  <si>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</si>
  <si>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</si>
  <si>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</si>
  <si>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</si>
  <si>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</si>
  <si>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</si>
  <si>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</si>
  <si>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</si>
  <si>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</si>
  <si>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</si>
  <si>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</si>
  <si>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</si>
  <si>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</si>
  <si>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</si>
  <si>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</si>
  <si>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</si>
  <si>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</si>
  <si>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</si>
  <si>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</si>
  <si>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</si>
  <si>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</si>
  <si>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</si>
  <si>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</si>
  <si>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</si>
  <si>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</si>
  <si>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</si>
  <si>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</si>
  <si>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</si>
  <si>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</si>
  <si>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</si>
  <si>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</si>
  <si>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</si>
  <si>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</si>
  <si>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</si>
  <si>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</si>
  <si>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</si>
  <si>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січень-грудень</t>
  </si>
  <si>
    <t>Відхилення до плану на січень-грудень</t>
  </si>
  <si>
    <t>% виконання до плану на січень-листопад</t>
  </si>
  <si>
    <t>% виконання до плану на січень-грудень</t>
  </si>
  <si>
    <t>Виконано у грудні</t>
  </si>
  <si>
    <t>на грудень  місяць</t>
  </si>
  <si>
    <t>Динаміка  фактичних надходжень грудень 2013 та 2014 років</t>
  </si>
  <si>
    <t>Динаміка  фактичних надходжень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</si>
  <si>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(січень-листопад)</t>
    </r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</si>
  <si>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(тис.грн)  - </t>
    </r>
  </si>
  <si>
    <t>Плата за користування надрами місцевого значення та збір за спеціальне використання лісових ресурсів</t>
  </si>
  <si>
    <t>13010200   13030200</t>
  </si>
  <si>
    <t xml:space="preserve">            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</si>
  <si>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</si>
  <si>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23.12.14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</si>
</sst>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0" fontId="8" fillId="5" borderId="1" xfId="20" applyFont="1" applyFill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8909732.21</v>
          </cell>
        </row>
      </sheetData>
      <sheetData sheetId="14">
        <row r="52">
          <cell r="B52">
            <v>0</v>
          </cell>
        </row>
      </sheetData>
      <sheetData sheetId="24">
        <row r="28">
          <cell r="C28">
            <v>4870376.3</v>
          </cell>
        </row>
      </sheetData>
      <sheetData sheetId="25">
        <row r="28">
          <cell r="C28">
            <v>3219411</v>
          </cell>
        </row>
      </sheetData>
      <sheetData sheetId="26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5" sqref="I145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hidden="1" customWidth="1"/>
    <col min="6" max="6" width="11.25390625" style="4" customWidth="1"/>
    <col min="7" max="7" width="11.875" style="4" hidden="1" customWidth="1"/>
    <col min="8" max="8" width="10.375" style="4" hidden="1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5" t="s">
        <v>312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26"/>
      <c r="R1" s="127"/>
    </row>
    <row r="2" spans="2:18" s="1" customFormat="1" ht="15.75" customHeight="1">
      <c r="B2" s="186"/>
      <c r="C2" s="186"/>
      <c r="D2" s="18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7"/>
      <c r="B3" s="189"/>
      <c r="C3" s="190" t="s">
        <v>0</v>
      </c>
      <c r="D3" s="191" t="s">
        <v>224</v>
      </c>
      <c r="E3" s="191"/>
      <c r="F3" s="192" t="s">
        <v>107</v>
      </c>
      <c r="G3" s="193"/>
      <c r="H3" s="193"/>
      <c r="I3" s="193"/>
      <c r="J3" s="193"/>
      <c r="K3" s="193"/>
      <c r="L3" s="194"/>
      <c r="M3" s="195" t="s">
        <v>225</v>
      </c>
      <c r="N3" s="197" t="s">
        <v>303</v>
      </c>
      <c r="O3" s="197"/>
      <c r="P3" s="197"/>
      <c r="Q3" s="197"/>
      <c r="R3" s="197"/>
    </row>
    <row r="4" spans="1:18" ht="22.5" customHeight="1">
      <c r="A4" s="187"/>
      <c r="B4" s="189"/>
      <c r="C4" s="190"/>
      <c r="D4" s="191"/>
      <c r="E4" s="191"/>
      <c r="F4" s="198" t="s">
        <v>116</v>
      </c>
      <c r="G4" s="200" t="s">
        <v>300</v>
      </c>
      <c r="H4" s="202" t="s">
        <v>302</v>
      </c>
      <c r="I4" s="204" t="s">
        <v>188</v>
      </c>
      <c r="J4" s="206" t="s">
        <v>189</v>
      </c>
      <c r="K4" s="208" t="s">
        <v>306</v>
      </c>
      <c r="L4" s="209"/>
      <c r="M4" s="196"/>
      <c r="N4" s="212" t="s">
        <v>313</v>
      </c>
      <c r="O4" s="204" t="s">
        <v>136</v>
      </c>
      <c r="P4" s="204" t="s">
        <v>135</v>
      </c>
      <c r="Q4" s="208" t="s">
        <v>305</v>
      </c>
      <c r="R4" s="209"/>
    </row>
    <row r="5" spans="1:18" ht="82.5" customHeight="1">
      <c r="A5" s="188"/>
      <c r="B5" s="189"/>
      <c r="C5" s="190"/>
      <c r="D5" s="150" t="s">
        <v>209</v>
      </c>
      <c r="E5" s="158" t="s">
        <v>299</v>
      </c>
      <c r="F5" s="199"/>
      <c r="G5" s="201"/>
      <c r="H5" s="203"/>
      <c r="I5" s="205"/>
      <c r="J5" s="207"/>
      <c r="K5" s="210"/>
      <c r="L5" s="211"/>
      <c r="M5" s="151" t="s">
        <v>304</v>
      </c>
      <c r="N5" s="213"/>
      <c r="O5" s="205"/>
      <c r="P5" s="205"/>
      <c r="Q5" s="210"/>
      <c r="R5" s="21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488476.3</v>
      </c>
      <c r="F8" s="22">
        <f>F10+F19+F33+F56+F68+F30</f>
        <v>459222.21</v>
      </c>
      <c r="G8" s="22">
        <f aca="true" t="shared" si="0" ref="G8:G30">F8-E8</f>
        <v>-29254.089999999967</v>
      </c>
      <c r="H8" s="51">
        <f>F8/E8*100</f>
        <v>94.01115468652216</v>
      </c>
      <c r="I8" s="36">
        <f aca="true" t="shared" si="1" ref="I8:I17">F8-D8</f>
        <v>-29254.089999999967</v>
      </c>
      <c r="J8" s="36">
        <f aca="true" t="shared" si="2" ref="J8:J14">F8/D8*100</f>
        <v>94.01115468652216</v>
      </c>
      <c r="K8" s="36">
        <f>F8-466721.4</f>
        <v>-7499.190000000002</v>
      </c>
      <c r="L8" s="136">
        <f>F8/466721.4</f>
        <v>0.9839321916672344</v>
      </c>
      <c r="M8" s="22">
        <f>M10+M19+M33+M56+M68+M30</f>
        <v>57218.27000000002</v>
      </c>
      <c r="N8" s="22">
        <f>N10+N19+N33+N56+N68+N30</f>
        <v>30507.149999999994</v>
      </c>
      <c r="O8" s="36">
        <f aca="true" t="shared" si="3" ref="O8:O71">N8-M8</f>
        <v>-26711.120000000024</v>
      </c>
      <c r="P8" s="36">
        <f>F8/M8*100</f>
        <v>802.5796830278159</v>
      </c>
      <c r="Q8" s="36">
        <f>N8-45637.2</f>
        <v>-15130.050000000003</v>
      </c>
      <c r="R8" s="134">
        <f>N8/45637.2</f>
        <v>0.6684711156687965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376526.62</v>
      </c>
      <c r="G9" s="22">
        <f t="shared" si="0"/>
        <v>376526.62</v>
      </c>
      <c r="H9" s="20"/>
      <c r="I9" s="56">
        <f t="shared" si="1"/>
        <v>-10486.580000000016</v>
      </c>
      <c r="J9" s="56">
        <f t="shared" si="2"/>
        <v>97.29038182676973</v>
      </c>
      <c r="K9" s="56"/>
      <c r="L9" s="135"/>
      <c r="M9" s="20">
        <f>M10+M17</f>
        <v>35005.20000000001</v>
      </c>
      <c r="N9" s="20">
        <f>N10+N17</f>
        <v>27329.23999999999</v>
      </c>
      <c r="O9" s="36">
        <f t="shared" si="3"/>
        <v>-7675.960000000021</v>
      </c>
      <c r="P9" s="56">
        <f>F9/M9*100</f>
        <v>1075.6305348919586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f>D10</f>
        <v>387013.2</v>
      </c>
      <c r="F10" s="169">
        <v>376526.62</v>
      </c>
      <c r="G10" s="49">
        <f t="shared" si="0"/>
        <v>-10486.580000000016</v>
      </c>
      <c r="H10" s="40">
        <f aca="true" t="shared" si="4" ref="H10:H17">F10/E10*100</f>
        <v>97.29038182676973</v>
      </c>
      <c r="I10" s="56">
        <f t="shared" si="1"/>
        <v>-10486.580000000016</v>
      </c>
      <c r="J10" s="56">
        <f t="shared" si="2"/>
        <v>97.29038182676973</v>
      </c>
      <c r="K10" s="141">
        <f>F10-372115.6</f>
        <v>4411.020000000019</v>
      </c>
      <c r="L10" s="142">
        <f>F10/372115.6</f>
        <v>1.0118538970147988</v>
      </c>
      <c r="M10" s="40">
        <f>E10-листопад!E10</f>
        <v>35005.20000000001</v>
      </c>
      <c r="N10" s="40">
        <f>F10-листопад!F10</f>
        <v>27329.23999999999</v>
      </c>
      <c r="O10" s="53">
        <f t="shared" si="3"/>
        <v>-7675.960000000021</v>
      </c>
      <c r="P10" s="56">
        <f aca="true" t="shared" si="5" ref="P10:P17">N10/M10*100</f>
        <v>78.07194359695126</v>
      </c>
      <c r="Q10" s="141">
        <f>N10-37779.2</f>
        <v>-10449.960000000006</v>
      </c>
      <c r="R10" s="142">
        <f>N10/37779.2</f>
        <v>0.7233938251736404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f aca="true" t="shared" si="6" ref="E11:E68">D11</f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E11-листопад!E11</f>
        <v>0</v>
      </c>
      <c r="N11" s="40">
        <f>F11-листопад!F11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f t="shared" si="6"/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E12-листопад!E12</f>
        <v>0</v>
      </c>
      <c r="N12" s="40">
        <f>F12-листопад!F12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f t="shared" si="6"/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E13-листопад!E13</f>
        <v>0</v>
      </c>
      <c r="N13" s="40">
        <f>F13-листопад!F13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f t="shared" si="6"/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E14-листопад!E14</f>
        <v>0</v>
      </c>
      <c r="N14" s="40">
        <f>F14-листопад!F14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f t="shared" si="6"/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E15-листопад!E15</f>
        <v>0</v>
      </c>
      <c r="N15" s="40">
        <f>F15-листопад!F15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f t="shared" si="6"/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E16-листопад!E16</f>
        <v>0</v>
      </c>
      <c r="N16" s="40">
        <f>F16-листопад!F16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f t="shared" si="6"/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E17-листопад!E17</f>
        <v>0</v>
      </c>
      <c r="N17" s="40">
        <f>F17-листопад!F17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f t="shared" si="6"/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E18-листопад!E18</f>
        <v>0</v>
      </c>
      <c r="N18" s="40">
        <f>F18-листопад!F18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f t="shared" si="6"/>
        <v>1000</v>
      </c>
      <c r="F19" s="169">
        <v>-1323.5</v>
      </c>
      <c r="G19" s="49">
        <f t="shared" si="0"/>
        <v>-2323.5</v>
      </c>
      <c r="H19" s="40">
        <f aca="true" t="shared" si="7" ref="H19:H28">F19/E19*100</f>
        <v>-132.35</v>
      </c>
      <c r="I19" s="56">
        <f aca="true" t="shared" si="8" ref="I19:I28">F19-D19</f>
        <v>-2323.5</v>
      </c>
      <c r="J19" s="56">
        <f aca="true" t="shared" si="9" ref="J19:J28">F19/D19*100</f>
        <v>-132.35</v>
      </c>
      <c r="K19" s="167">
        <f>F19-7565.9</f>
        <v>-8889.4</v>
      </c>
      <c r="L19" s="168">
        <f>F19/7565.9</f>
        <v>-0.17492961841948745</v>
      </c>
      <c r="M19" s="40">
        <f>E19-листопад!E19</f>
        <v>-79.59999999999991</v>
      </c>
      <c r="N19" s="40">
        <f>F19-листопад!F19</f>
        <v>29.059999999999945</v>
      </c>
      <c r="O19" s="53">
        <f t="shared" si="3"/>
        <v>108.65999999999985</v>
      </c>
      <c r="P19" s="56">
        <f aca="true" t="shared" si="10" ref="P19:P28">N19/M19*100</f>
        <v>-36.507537688442184</v>
      </c>
      <c r="Q19" s="56">
        <f>N19-358.9</f>
        <v>-329.84000000000003</v>
      </c>
      <c r="R19" s="135">
        <f>N19/358.9</f>
        <v>0.08096962942323753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f t="shared" si="6"/>
        <v>0</v>
      </c>
      <c r="F20" s="169">
        <v>0</v>
      </c>
      <c r="G20" s="49">
        <f t="shared" si="0"/>
        <v>0</v>
      </c>
      <c r="H20" s="40" t="e">
        <f t="shared" si="7"/>
        <v>#DIV/0!</v>
      </c>
      <c r="I20" s="56">
        <f t="shared" si="8"/>
        <v>0</v>
      </c>
      <c r="J20" s="56" t="e">
        <f t="shared" si="9"/>
        <v>#DIV/0!</v>
      </c>
      <c r="K20" s="56">
        <f aca="true" t="shared" si="11" ref="K20:K28">F20-194.7</f>
        <v>-194.7</v>
      </c>
      <c r="L20" s="135">
        <f aca="true" t="shared" si="12" ref="L20:L28">F20/194.7*100</f>
        <v>0</v>
      </c>
      <c r="M20" s="40">
        <f>E20-листопад!E20</f>
        <v>0</v>
      </c>
      <c r="N20" s="40">
        <f>F20-листопад!F20</f>
        <v>0</v>
      </c>
      <c r="O20" s="53">
        <f t="shared" si="3"/>
        <v>0</v>
      </c>
      <c r="P20" s="56" t="e">
        <f t="shared" si="10"/>
        <v>#DIV/0!</v>
      </c>
      <c r="Q20" s="56">
        <f aca="true" t="shared" si="13" ref="Q20:Q28">N20-3681.4</f>
        <v>-3681.4</v>
      </c>
      <c r="R20" s="135">
        <f aca="true" t="shared" si="14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f t="shared" si="6"/>
        <v>0</v>
      </c>
      <c r="F21" s="169">
        <v>0</v>
      </c>
      <c r="G21" s="49">
        <f t="shared" si="0"/>
        <v>0</v>
      </c>
      <c r="H21" s="40" t="e">
        <f t="shared" si="7"/>
        <v>#DIV/0!</v>
      </c>
      <c r="I21" s="56">
        <f t="shared" si="8"/>
        <v>0</v>
      </c>
      <c r="J21" s="56" t="e">
        <f t="shared" si="9"/>
        <v>#DIV/0!</v>
      </c>
      <c r="K21" s="56">
        <f t="shared" si="11"/>
        <v>-194.7</v>
      </c>
      <c r="L21" s="135">
        <f t="shared" si="12"/>
        <v>0</v>
      </c>
      <c r="M21" s="40">
        <f>E21-листопад!E21</f>
        <v>0</v>
      </c>
      <c r="N21" s="40">
        <f>F21-листопад!F21</f>
        <v>0</v>
      </c>
      <c r="O21" s="53">
        <f t="shared" si="3"/>
        <v>0</v>
      </c>
      <c r="P21" s="56" t="e">
        <f t="shared" si="10"/>
        <v>#DIV/0!</v>
      </c>
      <c r="Q21" s="56">
        <f t="shared" si="13"/>
        <v>-3681.4</v>
      </c>
      <c r="R21" s="135">
        <f t="shared" si="14"/>
        <v>0</v>
      </c>
    </row>
    <row r="22" spans="1:18" s="6" customFormat="1" ht="47.25" hidden="1">
      <c r="A22" s="8"/>
      <c r="B22" s="179" t="s">
        <v>22</v>
      </c>
      <c r="C22" s="66">
        <v>13010200</v>
      </c>
      <c r="D22" s="41">
        <v>0</v>
      </c>
      <c r="E22" s="41">
        <f t="shared" si="6"/>
        <v>0</v>
      </c>
      <c r="F22" s="169">
        <v>0</v>
      </c>
      <c r="G22" s="49">
        <f t="shared" si="0"/>
        <v>0</v>
      </c>
      <c r="H22" s="40" t="e">
        <f t="shared" si="7"/>
        <v>#DIV/0!</v>
      </c>
      <c r="I22" s="56">
        <f t="shared" si="8"/>
        <v>0</v>
      </c>
      <c r="J22" s="56" t="e">
        <f t="shared" si="9"/>
        <v>#DIV/0!</v>
      </c>
      <c r="K22" s="56">
        <f t="shared" si="11"/>
        <v>-194.7</v>
      </c>
      <c r="L22" s="135">
        <f t="shared" si="12"/>
        <v>0</v>
      </c>
      <c r="M22" s="40">
        <f>E22-листопад!E22</f>
        <v>0</v>
      </c>
      <c r="N22" s="40">
        <f>F22-листопад!F22</f>
        <v>0</v>
      </c>
      <c r="O22" s="53">
        <f t="shared" si="3"/>
        <v>0</v>
      </c>
      <c r="P22" s="56" t="e">
        <f t="shared" si="10"/>
        <v>#DIV/0!</v>
      </c>
      <c r="Q22" s="56">
        <f t="shared" si="13"/>
        <v>-3681.4</v>
      </c>
      <c r="R22" s="135">
        <f t="shared" si="14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f t="shared" si="6"/>
        <v>0</v>
      </c>
      <c r="F23" s="169">
        <v>0</v>
      </c>
      <c r="G23" s="49">
        <f t="shared" si="0"/>
        <v>0</v>
      </c>
      <c r="H23" s="40" t="e">
        <f t="shared" si="7"/>
        <v>#DIV/0!</v>
      </c>
      <c r="I23" s="56">
        <f t="shared" si="8"/>
        <v>0</v>
      </c>
      <c r="J23" s="56" t="e">
        <f t="shared" si="9"/>
        <v>#DIV/0!</v>
      </c>
      <c r="K23" s="56">
        <f t="shared" si="11"/>
        <v>-194.7</v>
      </c>
      <c r="L23" s="135">
        <f t="shared" si="12"/>
        <v>0</v>
      </c>
      <c r="M23" s="40">
        <f>E23-листопад!E23</f>
        <v>0</v>
      </c>
      <c r="N23" s="40">
        <f>F23-листопад!F23</f>
        <v>0</v>
      </c>
      <c r="O23" s="53">
        <f t="shared" si="3"/>
        <v>0</v>
      </c>
      <c r="P23" s="56" t="e">
        <f t="shared" si="10"/>
        <v>#DIV/0!</v>
      </c>
      <c r="Q23" s="56">
        <f t="shared" si="13"/>
        <v>-3681.4</v>
      </c>
      <c r="R23" s="135">
        <f t="shared" si="14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f t="shared" si="6"/>
        <v>0</v>
      </c>
      <c r="F24" s="169">
        <v>0</v>
      </c>
      <c r="G24" s="49">
        <f t="shared" si="0"/>
        <v>0</v>
      </c>
      <c r="H24" s="40" t="e">
        <f t="shared" si="7"/>
        <v>#DIV/0!</v>
      </c>
      <c r="I24" s="56">
        <f t="shared" si="8"/>
        <v>0</v>
      </c>
      <c r="J24" s="56" t="e">
        <f t="shared" si="9"/>
        <v>#DIV/0!</v>
      </c>
      <c r="K24" s="56">
        <f t="shared" si="11"/>
        <v>-194.7</v>
      </c>
      <c r="L24" s="135">
        <f t="shared" si="12"/>
        <v>0</v>
      </c>
      <c r="M24" s="40">
        <f>E24-листопад!E24</f>
        <v>0</v>
      </c>
      <c r="N24" s="40">
        <f>F24-листопад!F24</f>
        <v>0</v>
      </c>
      <c r="O24" s="53">
        <f t="shared" si="3"/>
        <v>0</v>
      </c>
      <c r="P24" s="56" t="e">
        <f t="shared" si="10"/>
        <v>#DIV/0!</v>
      </c>
      <c r="Q24" s="56">
        <f t="shared" si="13"/>
        <v>-3681.4</v>
      </c>
      <c r="R24" s="135">
        <f t="shared" si="14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f t="shared" si="6"/>
        <v>0</v>
      </c>
      <c r="F25" s="169">
        <v>0</v>
      </c>
      <c r="G25" s="49">
        <f t="shared" si="0"/>
        <v>0</v>
      </c>
      <c r="H25" s="40" t="e">
        <f t="shared" si="7"/>
        <v>#DIV/0!</v>
      </c>
      <c r="I25" s="56">
        <f t="shared" si="8"/>
        <v>0</v>
      </c>
      <c r="J25" s="56" t="e">
        <f t="shared" si="9"/>
        <v>#DIV/0!</v>
      </c>
      <c r="K25" s="56">
        <f t="shared" si="11"/>
        <v>-194.7</v>
      </c>
      <c r="L25" s="135">
        <f t="shared" si="12"/>
        <v>0</v>
      </c>
      <c r="M25" s="40">
        <f>E25-листопад!E25</f>
        <v>0</v>
      </c>
      <c r="N25" s="40">
        <f>F25-листопад!F25</f>
        <v>0</v>
      </c>
      <c r="O25" s="53">
        <f t="shared" si="3"/>
        <v>0</v>
      </c>
      <c r="P25" s="56" t="e">
        <f t="shared" si="10"/>
        <v>#DIV/0!</v>
      </c>
      <c r="Q25" s="56">
        <f t="shared" si="13"/>
        <v>-3681.4</v>
      </c>
      <c r="R25" s="135">
        <f t="shared" si="14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f t="shared" si="6"/>
        <v>0</v>
      </c>
      <c r="F26" s="169">
        <v>0</v>
      </c>
      <c r="G26" s="49">
        <f t="shared" si="0"/>
        <v>0</v>
      </c>
      <c r="H26" s="40" t="e">
        <f t="shared" si="7"/>
        <v>#DIV/0!</v>
      </c>
      <c r="I26" s="56">
        <f t="shared" si="8"/>
        <v>0</v>
      </c>
      <c r="J26" s="56" t="e">
        <f t="shared" si="9"/>
        <v>#DIV/0!</v>
      </c>
      <c r="K26" s="56">
        <f t="shared" si="11"/>
        <v>-194.7</v>
      </c>
      <c r="L26" s="135">
        <f t="shared" si="12"/>
        <v>0</v>
      </c>
      <c r="M26" s="40">
        <f>E26-листопад!E26</f>
        <v>0</v>
      </c>
      <c r="N26" s="40">
        <f>F26-листопад!F26</f>
        <v>0</v>
      </c>
      <c r="O26" s="53">
        <f t="shared" si="3"/>
        <v>0</v>
      </c>
      <c r="P26" s="56" t="e">
        <f t="shared" si="10"/>
        <v>#DIV/0!</v>
      </c>
      <c r="Q26" s="56">
        <f t="shared" si="13"/>
        <v>-3681.4</v>
      </c>
      <c r="R26" s="135">
        <f t="shared" si="14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f t="shared" si="6"/>
        <v>0</v>
      </c>
      <c r="F27" s="169">
        <v>0</v>
      </c>
      <c r="G27" s="49">
        <f t="shared" si="0"/>
        <v>0</v>
      </c>
      <c r="H27" s="40" t="e">
        <f t="shared" si="7"/>
        <v>#DIV/0!</v>
      </c>
      <c r="I27" s="56">
        <f t="shared" si="8"/>
        <v>0</v>
      </c>
      <c r="J27" s="56" t="e">
        <f t="shared" si="9"/>
        <v>#DIV/0!</v>
      </c>
      <c r="K27" s="56">
        <f t="shared" si="11"/>
        <v>-194.7</v>
      </c>
      <c r="L27" s="135">
        <f t="shared" si="12"/>
        <v>0</v>
      </c>
      <c r="M27" s="40">
        <f>E27-листопад!E27</f>
        <v>0</v>
      </c>
      <c r="N27" s="40">
        <f>F27-листопад!F27</f>
        <v>0</v>
      </c>
      <c r="O27" s="53">
        <f t="shared" si="3"/>
        <v>0</v>
      </c>
      <c r="P27" s="56" t="e">
        <f t="shared" si="10"/>
        <v>#DIV/0!</v>
      </c>
      <c r="Q27" s="56">
        <f t="shared" si="13"/>
        <v>-3681.4</v>
      </c>
      <c r="R27" s="135">
        <f t="shared" si="14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f t="shared" si="6"/>
        <v>0</v>
      </c>
      <c r="F28" s="169">
        <v>0</v>
      </c>
      <c r="G28" s="49">
        <f t="shared" si="0"/>
        <v>0</v>
      </c>
      <c r="H28" s="40" t="e">
        <f t="shared" si="7"/>
        <v>#DIV/0!</v>
      </c>
      <c r="I28" s="56">
        <f t="shared" si="8"/>
        <v>0</v>
      </c>
      <c r="J28" s="56" t="e">
        <f t="shared" si="9"/>
        <v>#DIV/0!</v>
      </c>
      <c r="K28" s="56">
        <f t="shared" si="11"/>
        <v>-194.7</v>
      </c>
      <c r="L28" s="135">
        <f t="shared" si="12"/>
        <v>0</v>
      </c>
      <c r="M28" s="40">
        <f>E28-листопад!E28</f>
        <v>0</v>
      </c>
      <c r="N28" s="40">
        <f>F28-листопад!F28</f>
        <v>0</v>
      </c>
      <c r="O28" s="53">
        <f t="shared" si="3"/>
        <v>0</v>
      </c>
      <c r="P28" s="56" t="e">
        <f t="shared" si="10"/>
        <v>#DIV/0!</v>
      </c>
      <c r="Q28" s="56">
        <f t="shared" si="13"/>
        <v>-3681.4</v>
      </c>
      <c r="R28" s="135">
        <f t="shared" si="14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f>D29</f>
        <v>930</v>
      </c>
      <c r="F29" s="170">
        <v>-840.7</v>
      </c>
      <c r="G29" s="49">
        <f>F29-E29</f>
        <v>-1770.7</v>
      </c>
      <c r="H29" s="40">
        <f>F29/E29*100</f>
        <v>-90.3978494623656</v>
      </c>
      <c r="I29" s="56">
        <f>F29-D29</f>
        <v>-1770.7</v>
      </c>
      <c r="J29" s="56">
        <f>F29/D29*100</f>
        <v>-90.3978494623656</v>
      </c>
      <c r="K29" s="148">
        <f>F29-3938.93</f>
        <v>-4779.63</v>
      </c>
      <c r="L29" s="149">
        <f>F29/3938.93</f>
        <v>-0.21343359744905344</v>
      </c>
      <c r="M29" s="40">
        <f>E29-листопад!E29</f>
        <v>110.39999999999998</v>
      </c>
      <c r="N29" s="40">
        <f>F29-листопад!F29</f>
        <v>28.719999999999914</v>
      </c>
      <c r="O29" s="148">
        <f>N29-M29</f>
        <v>-81.68000000000006</v>
      </c>
      <c r="P29" s="145">
        <f>N29/M29*100</f>
        <v>26.014492753623113</v>
      </c>
      <c r="Q29" s="148">
        <f>N29-358.92</f>
        <v>-330.2000000000001</v>
      </c>
      <c r="R29" s="149">
        <f>N29/358.92</f>
        <v>0.08001783127159232</v>
      </c>
    </row>
    <row r="30" spans="1:18" s="6" customFormat="1" ht="36" customHeight="1">
      <c r="A30" s="8"/>
      <c r="B30" s="15" t="s">
        <v>309</v>
      </c>
      <c r="C30" s="180" t="s">
        <v>310</v>
      </c>
      <c r="D30" s="41">
        <v>37</v>
      </c>
      <c r="E30" s="144">
        <f t="shared" si="6"/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E30-листопад!E30</f>
        <v>0</v>
      </c>
      <c r="N30" s="40">
        <f>F30-листопад!F30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f t="shared" si="6"/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E31-листопад!E31</f>
        <v>0</v>
      </c>
      <c r="N31" s="40">
        <f>F31-листопад!F31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f t="shared" si="6"/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E32-листопад!E32</f>
        <v>0</v>
      </c>
      <c r="N32" s="40">
        <f>F32-листопад!F32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f t="shared" si="6"/>
        <v>93566</v>
      </c>
      <c r="F33" s="169">
        <v>77570.57</v>
      </c>
      <c r="G33" s="49">
        <f aca="true" t="shared" si="15" ref="G33:G72">F33-E33</f>
        <v>-15995.429999999993</v>
      </c>
      <c r="H33" s="40">
        <f aca="true" t="shared" si="16" ref="H33:H67">F33/E33*100</f>
        <v>82.90465553726781</v>
      </c>
      <c r="I33" s="56">
        <f>F33-D33</f>
        <v>-15995.429999999993</v>
      </c>
      <c r="J33" s="56">
        <f aca="true" t="shared" si="17" ref="J33:J72">F33/D33*100</f>
        <v>82.90465553726781</v>
      </c>
      <c r="K33" s="141">
        <f>F33-80761.4</f>
        <v>-3190.829999999987</v>
      </c>
      <c r="L33" s="142">
        <f>F33/80721.4</f>
        <v>0.9609666086068875</v>
      </c>
      <c r="M33" s="40">
        <f>E33-листопад!E33</f>
        <v>21652.570000000007</v>
      </c>
      <c r="N33" s="40">
        <f>F33-листопад!F33</f>
        <v>2572.800000000003</v>
      </c>
      <c r="O33" s="53">
        <f t="shared" si="3"/>
        <v>-19079.770000000004</v>
      </c>
      <c r="P33" s="56">
        <f aca="true" t="shared" si="18" ref="P33:P67">N33/M33*100</f>
        <v>11.882192275558985</v>
      </c>
      <c r="Q33" s="141">
        <f>N33-6915.7</f>
        <v>-4342.899999999997</v>
      </c>
      <c r="R33" s="142">
        <f>N33/6915.7</f>
        <v>0.372023077924144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f t="shared" si="6"/>
        <v>0</v>
      </c>
      <c r="F34" s="169">
        <v>0</v>
      </c>
      <c r="G34" s="49">
        <f t="shared" si="15"/>
        <v>0</v>
      </c>
      <c r="H34" s="40" t="e">
        <f t="shared" si="16"/>
        <v>#DIV/0!</v>
      </c>
      <c r="I34" s="56">
        <f aca="true" t="shared" si="19" ref="I34:I72">F34-D34</f>
        <v>0</v>
      </c>
      <c r="J34" s="56" t="e">
        <f t="shared" si="17"/>
        <v>#DIV/0!</v>
      </c>
      <c r="K34" s="56">
        <f aca="true" t="shared" si="20" ref="K34:K54">F34-6172.8</f>
        <v>-6172.8</v>
      </c>
      <c r="L34" s="135">
        <f aca="true" t="shared" si="21" ref="L34:L54">F34/6172.8*100</f>
        <v>0</v>
      </c>
      <c r="M34" s="40">
        <f>E34-листопад!E34</f>
        <v>0</v>
      </c>
      <c r="N34" s="40">
        <f>F34-листопад!F34</f>
        <v>0</v>
      </c>
      <c r="O34" s="53">
        <f t="shared" si="3"/>
        <v>0</v>
      </c>
      <c r="P34" s="56" t="e">
        <f t="shared" si="18"/>
        <v>#DIV/0!</v>
      </c>
      <c r="Q34" s="141">
        <f aca="true" t="shared" si="22" ref="Q34:Q54">N34-6362.9</f>
        <v>-6362.9</v>
      </c>
      <c r="R34" s="142">
        <f aca="true" t="shared" si="23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f t="shared" si="6"/>
        <v>0</v>
      </c>
      <c r="F35" s="169">
        <v>0</v>
      </c>
      <c r="G35" s="49">
        <f t="shared" si="15"/>
        <v>0</v>
      </c>
      <c r="H35" s="40" t="e">
        <f t="shared" si="16"/>
        <v>#DIV/0!</v>
      </c>
      <c r="I35" s="56">
        <f t="shared" si="19"/>
        <v>0</v>
      </c>
      <c r="J35" s="56" t="e">
        <f t="shared" si="17"/>
        <v>#DIV/0!</v>
      </c>
      <c r="K35" s="56">
        <f t="shared" si="20"/>
        <v>-6172.8</v>
      </c>
      <c r="L35" s="135">
        <f t="shared" si="21"/>
        <v>0</v>
      </c>
      <c r="M35" s="40">
        <f>E35-листопад!E35</f>
        <v>0</v>
      </c>
      <c r="N35" s="40">
        <f>F35-листопад!F35</f>
        <v>0</v>
      </c>
      <c r="O35" s="53">
        <f t="shared" si="3"/>
        <v>0</v>
      </c>
      <c r="P35" s="56" t="e">
        <f t="shared" si="18"/>
        <v>#DIV/0!</v>
      </c>
      <c r="Q35" s="141">
        <f t="shared" si="22"/>
        <v>-6362.9</v>
      </c>
      <c r="R35" s="142">
        <f t="shared" si="23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f t="shared" si="6"/>
        <v>0</v>
      </c>
      <c r="F36" s="169">
        <v>0</v>
      </c>
      <c r="G36" s="49">
        <f t="shared" si="15"/>
        <v>0</v>
      </c>
      <c r="H36" s="40" t="e">
        <f t="shared" si="16"/>
        <v>#DIV/0!</v>
      </c>
      <c r="I36" s="56">
        <f t="shared" si="19"/>
        <v>0</v>
      </c>
      <c r="J36" s="56" t="e">
        <f t="shared" si="17"/>
        <v>#DIV/0!</v>
      </c>
      <c r="K36" s="56">
        <f t="shared" si="20"/>
        <v>-6172.8</v>
      </c>
      <c r="L36" s="135">
        <f t="shared" si="21"/>
        <v>0</v>
      </c>
      <c r="M36" s="40">
        <f>E36-листопад!E36</f>
        <v>0</v>
      </c>
      <c r="N36" s="40">
        <f>F36-листопад!F36</f>
        <v>0</v>
      </c>
      <c r="O36" s="53">
        <f t="shared" si="3"/>
        <v>0</v>
      </c>
      <c r="P36" s="56" t="e">
        <f t="shared" si="18"/>
        <v>#DIV/0!</v>
      </c>
      <c r="Q36" s="141">
        <f t="shared" si="22"/>
        <v>-6362.9</v>
      </c>
      <c r="R36" s="142">
        <f t="shared" si="23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f t="shared" si="6"/>
        <v>0</v>
      </c>
      <c r="F37" s="169">
        <v>0</v>
      </c>
      <c r="G37" s="49">
        <f t="shared" si="15"/>
        <v>0</v>
      </c>
      <c r="H37" s="40" t="e">
        <f t="shared" si="16"/>
        <v>#DIV/0!</v>
      </c>
      <c r="I37" s="56">
        <f t="shared" si="19"/>
        <v>0</v>
      </c>
      <c r="J37" s="56" t="e">
        <f t="shared" si="17"/>
        <v>#DIV/0!</v>
      </c>
      <c r="K37" s="56">
        <f t="shared" si="20"/>
        <v>-6172.8</v>
      </c>
      <c r="L37" s="135">
        <f t="shared" si="21"/>
        <v>0</v>
      </c>
      <c r="M37" s="40">
        <f>E37-листопад!E37</f>
        <v>0</v>
      </c>
      <c r="N37" s="40">
        <f>F37-листопад!F37</f>
        <v>0</v>
      </c>
      <c r="O37" s="53">
        <f t="shared" si="3"/>
        <v>0</v>
      </c>
      <c r="P37" s="56" t="e">
        <f t="shared" si="18"/>
        <v>#DIV/0!</v>
      </c>
      <c r="Q37" s="141">
        <f t="shared" si="22"/>
        <v>-6362.9</v>
      </c>
      <c r="R37" s="142">
        <f t="shared" si="23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f t="shared" si="6"/>
        <v>0</v>
      </c>
      <c r="F38" s="169">
        <v>0</v>
      </c>
      <c r="G38" s="49">
        <f t="shared" si="15"/>
        <v>0</v>
      </c>
      <c r="H38" s="40" t="e">
        <f t="shared" si="16"/>
        <v>#DIV/0!</v>
      </c>
      <c r="I38" s="56">
        <f t="shared" si="19"/>
        <v>0</v>
      </c>
      <c r="J38" s="56" t="e">
        <f t="shared" si="17"/>
        <v>#DIV/0!</v>
      </c>
      <c r="K38" s="56">
        <f t="shared" si="20"/>
        <v>-6172.8</v>
      </c>
      <c r="L38" s="135">
        <f t="shared" si="21"/>
        <v>0</v>
      </c>
      <c r="M38" s="40">
        <f>E38-листопад!E38</f>
        <v>0</v>
      </c>
      <c r="N38" s="40">
        <f>F38-листопад!F38</f>
        <v>0</v>
      </c>
      <c r="O38" s="53">
        <f t="shared" si="3"/>
        <v>0</v>
      </c>
      <c r="P38" s="56" t="e">
        <f t="shared" si="18"/>
        <v>#DIV/0!</v>
      </c>
      <c r="Q38" s="141">
        <f t="shared" si="22"/>
        <v>-6362.9</v>
      </c>
      <c r="R38" s="142">
        <f t="shared" si="23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f t="shared" si="6"/>
        <v>0</v>
      </c>
      <c r="F39" s="169">
        <v>0</v>
      </c>
      <c r="G39" s="49">
        <f t="shared" si="15"/>
        <v>0</v>
      </c>
      <c r="H39" s="40" t="e">
        <f t="shared" si="16"/>
        <v>#DIV/0!</v>
      </c>
      <c r="I39" s="56">
        <f t="shared" si="19"/>
        <v>0</v>
      </c>
      <c r="J39" s="56" t="e">
        <f t="shared" si="17"/>
        <v>#DIV/0!</v>
      </c>
      <c r="K39" s="56">
        <f t="shared" si="20"/>
        <v>-6172.8</v>
      </c>
      <c r="L39" s="135">
        <f t="shared" si="21"/>
        <v>0</v>
      </c>
      <c r="M39" s="40">
        <f>E39-листопад!E39</f>
        <v>0</v>
      </c>
      <c r="N39" s="40">
        <f>F39-листопад!F39</f>
        <v>0</v>
      </c>
      <c r="O39" s="53">
        <f t="shared" si="3"/>
        <v>0</v>
      </c>
      <c r="P39" s="56" t="e">
        <f t="shared" si="18"/>
        <v>#DIV/0!</v>
      </c>
      <c r="Q39" s="141">
        <f t="shared" si="22"/>
        <v>-6362.9</v>
      </c>
      <c r="R39" s="142">
        <f t="shared" si="23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f t="shared" si="6"/>
        <v>0</v>
      </c>
      <c r="F40" s="169">
        <v>0</v>
      </c>
      <c r="G40" s="49">
        <f t="shared" si="15"/>
        <v>0</v>
      </c>
      <c r="H40" s="40" t="e">
        <f t="shared" si="16"/>
        <v>#DIV/0!</v>
      </c>
      <c r="I40" s="56">
        <f t="shared" si="19"/>
        <v>0</v>
      </c>
      <c r="J40" s="56" t="e">
        <f t="shared" si="17"/>
        <v>#DIV/0!</v>
      </c>
      <c r="K40" s="56">
        <f t="shared" si="20"/>
        <v>-6172.8</v>
      </c>
      <c r="L40" s="135">
        <f t="shared" si="21"/>
        <v>0</v>
      </c>
      <c r="M40" s="40">
        <f>E40-листопад!E40</f>
        <v>0</v>
      </c>
      <c r="N40" s="40">
        <f>F40-листопад!F40</f>
        <v>0</v>
      </c>
      <c r="O40" s="53">
        <f t="shared" si="3"/>
        <v>0</v>
      </c>
      <c r="P40" s="56" t="e">
        <f t="shared" si="18"/>
        <v>#DIV/0!</v>
      </c>
      <c r="Q40" s="141">
        <f t="shared" si="22"/>
        <v>-6362.9</v>
      </c>
      <c r="R40" s="142">
        <f t="shared" si="23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f t="shared" si="6"/>
        <v>0</v>
      </c>
      <c r="F41" s="169">
        <v>0</v>
      </c>
      <c r="G41" s="49">
        <f t="shared" si="15"/>
        <v>0</v>
      </c>
      <c r="H41" s="40" t="e">
        <f t="shared" si="16"/>
        <v>#DIV/0!</v>
      </c>
      <c r="I41" s="56">
        <f t="shared" si="19"/>
        <v>0</v>
      </c>
      <c r="J41" s="56" t="e">
        <f t="shared" si="17"/>
        <v>#DIV/0!</v>
      </c>
      <c r="K41" s="56">
        <f t="shared" si="20"/>
        <v>-6172.8</v>
      </c>
      <c r="L41" s="135">
        <f t="shared" si="21"/>
        <v>0</v>
      </c>
      <c r="M41" s="40">
        <f>E41-листопад!E41</f>
        <v>0</v>
      </c>
      <c r="N41" s="40">
        <f>F41-листопад!F41</f>
        <v>0</v>
      </c>
      <c r="O41" s="53">
        <f t="shared" si="3"/>
        <v>0</v>
      </c>
      <c r="P41" s="56" t="e">
        <f t="shared" si="18"/>
        <v>#DIV/0!</v>
      </c>
      <c r="Q41" s="141">
        <f t="shared" si="22"/>
        <v>-6362.9</v>
      </c>
      <c r="R41" s="142">
        <f t="shared" si="23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f t="shared" si="6"/>
        <v>0</v>
      </c>
      <c r="F42" s="169">
        <v>0</v>
      </c>
      <c r="G42" s="49">
        <f t="shared" si="15"/>
        <v>0</v>
      </c>
      <c r="H42" s="40" t="e">
        <f t="shared" si="16"/>
        <v>#DIV/0!</v>
      </c>
      <c r="I42" s="56">
        <f t="shared" si="19"/>
        <v>0</v>
      </c>
      <c r="J42" s="56" t="e">
        <f t="shared" si="17"/>
        <v>#DIV/0!</v>
      </c>
      <c r="K42" s="56">
        <f t="shared" si="20"/>
        <v>-6172.8</v>
      </c>
      <c r="L42" s="135">
        <f t="shared" si="21"/>
        <v>0</v>
      </c>
      <c r="M42" s="40">
        <f>E42-листопад!E42</f>
        <v>0</v>
      </c>
      <c r="N42" s="40">
        <f>F42-листопад!F42</f>
        <v>0</v>
      </c>
      <c r="O42" s="53">
        <f t="shared" si="3"/>
        <v>0</v>
      </c>
      <c r="P42" s="56" t="e">
        <f t="shared" si="18"/>
        <v>#DIV/0!</v>
      </c>
      <c r="Q42" s="141">
        <f t="shared" si="22"/>
        <v>-6362.9</v>
      </c>
      <c r="R42" s="142">
        <f t="shared" si="23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f t="shared" si="6"/>
        <v>0</v>
      </c>
      <c r="F43" s="169">
        <v>0</v>
      </c>
      <c r="G43" s="49">
        <f t="shared" si="15"/>
        <v>0</v>
      </c>
      <c r="H43" s="40" t="e">
        <f t="shared" si="16"/>
        <v>#DIV/0!</v>
      </c>
      <c r="I43" s="56">
        <f t="shared" si="19"/>
        <v>0</v>
      </c>
      <c r="J43" s="56" t="e">
        <f t="shared" si="17"/>
        <v>#DIV/0!</v>
      </c>
      <c r="K43" s="56">
        <f t="shared" si="20"/>
        <v>-6172.8</v>
      </c>
      <c r="L43" s="135">
        <f t="shared" si="21"/>
        <v>0</v>
      </c>
      <c r="M43" s="40">
        <f>E43-листопад!E43</f>
        <v>0</v>
      </c>
      <c r="N43" s="40">
        <f>F43-листопад!F43</f>
        <v>0</v>
      </c>
      <c r="O43" s="53">
        <f t="shared" si="3"/>
        <v>0</v>
      </c>
      <c r="P43" s="56" t="e">
        <f t="shared" si="18"/>
        <v>#DIV/0!</v>
      </c>
      <c r="Q43" s="141">
        <f t="shared" si="22"/>
        <v>-6362.9</v>
      </c>
      <c r="R43" s="142">
        <f t="shared" si="23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f t="shared" si="6"/>
        <v>0</v>
      </c>
      <c r="F44" s="169">
        <v>0</v>
      </c>
      <c r="G44" s="49">
        <f t="shared" si="15"/>
        <v>0</v>
      </c>
      <c r="H44" s="40" t="e">
        <f t="shared" si="16"/>
        <v>#DIV/0!</v>
      </c>
      <c r="I44" s="56">
        <f t="shared" si="19"/>
        <v>0</v>
      </c>
      <c r="J44" s="56" t="e">
        <f t="shared" si="17"/>
        <v>#DIV/0!</v>
      </c>
      <c r="K44" s="56">
        <f t="shared" si="20"/>
        <v>-6172.8</v>
      </c>
      <c r="L44" s="135">
        <f t="shared" si="21"/>
        <v>0</v>
      </c>
      <c r="M44" s="40">
        <f>E44-листопад!E44</f>
        <v>0</v>
      </c>
      <c r="N44" s="40">
        <f>F44-листопад!F44</f>
        <v>0</v>
      </c>
      <c r="O44" s="53">
        <f t="shared" si="3"/>
        <v>0</v>
      </c>
      <c r="P44" s="56" t="e">
        <f t="shared" si="18"/>
        <v>#DIV/0!</v>
      </c>
      <c r="Q44" s="141">
        <f t="shared" si="22"/>
        <v>-6362.9</v>
      </c>
      <c r="R44" s="142">
        <f t="shared" si="23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f t="shared" si="6"/>
        <v>0</v>
      </c>
      <c r="F45" s="169">
        <v>0</v>
      </c>
      <c r="G45" s="49">
        <f t="shared" si="15"/>
        <v>0</v>
      </c>
      <c r="H45" s="40" t="e">
        <f t="shared" si="16"/>
        <v>#DIV/0!</v>
      </c>
      <c r="I45" s="56">
        <f t="shared" si="19"/>
        <v>0</v>
      </c>
      <c r="J45" s="56" t="e">
        <f t="shared" si="17"/>
        <v>#DIV/0!</v>
      </c>
      <c r="K45" s="56">
        <f t="shared" si="20"/>
        <v>-6172.8</v>
      </c>
      <c r="L45" s="135">
        <f t="shared" si="21"/>
        <v>0</v>
      </c>
      <c r="M45" s="40">
        <f>E45-листопад!E45</f>
        <v>0</v>
      </c>
      <c r="N45" s="40">
        <f>F45-листопад!F45</f>
        <v>0</v>
      </c>
      <c r="O45" s="53">
        <f t="shared" si="3"/>
        <v>0</v>
      </c>
      <c r="P45" s="56" t="e">
        <f t="shared" si="18"/>
        <v>#DIV/0!</v>
      </c>
      <c r="Q45" s="141">
        <f t="shared" si="22"/>
        <v>-6362.9</v>
      </c>
      <c r="R45" s="142">
        <f t="shared" si="23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f t="shared" si="6"/>
        <v>0</v>
      </c>
      <c r="F46" s="169">
        <v>0</v>
      </c>
      <c r="G46" s="49">
        <f t="shared" si="15"/>
        <v>0</v>
      </c>
      <c r="H46" s="40" t="e">
        <f t="shared" si="16"/>
        <v>#DIV/0!</v>
      </c>
      <c r="I46" s="56">
        <f t="shared" si="19"/>
        <v>0</v>
      </c>
      <c r="J46" s="56" t="e">
        <f t="shared" si="17"/>
        <v>#DIV/0!</v>
      </c>
      <c r="K46" s="56">
        <f t="shared" si="20"/>
        <v>-6172.8</v>
      </c>
      <c r="L46" s="135">
        <f t="shared" si="21"/>
        <v>0</v>
      </c>
      <c r="M46" s="40">
        <f>E46-листопад!E46</f>
        <v>0</v>
      </c>
      <c r="N46" s="40">
        <f>F46-листопад!F46</f>
        <v>0</v>
      </c>
      <c r="O46" s="53">
        <f t="shared" si="3"/>
        <v>0</v>
      </c>
      <c r="P46" s="56" t="e">
        <f t="shared" si="18"/>
        <v>#DIV/0!</v>
      </c>
      <c r="Q46" s="141">
        <f t="shared" si="22"/>
        <v>-6362.9</v>
      </c>
      <c r="R46" s="142">
        <f t="shared" si="23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f t="shared" si="6"/>
        <v>0</v>
      </c>
      <c r="F47" s="169">
        <v>0</v>
      </c>
      <c r="G47" s="49">
        <f t="shared" si="15"/>
        <v>0</v>
      </c>
      <c r="H47" s="40" t="e">
        <f t="shared" si="16"/>
        <v>#DIV/0!</v>
      </c>
      <c r="I47" s="56">
        <f t="shared" si="19"/>
        <v>0</v>
      </c>
      <c r="J47" s="56" t="e">
        <f t="shared" si="17"/>
        <v>#DIV/0!</v>
      </c>
      <c r="K47" s="56">
        <f t="shared" si="20"/>
        <v>-6172.8</v>
      </c>
      <c r="L47" s="135">
        <f t="shared" si="21"/>
        <v>0</v>
      </c>
      <c r="M47" s="40">
        <f>E47-листопад!E47</f>
        <v>0</v>
      </c>
      <c r="N47" s="40">
        <f>F47-листопад!F47</f>
        <v>0</v>
      </c>
      <c r="O47" s="53">
        <f t="shared" si="3"/>
        <v>0</v>
      </c>
      <c r="P47" s="56" t="e">
        <f t="shared" si="18"/>
        <v>#DIV/0!</v>
      </c>
      <c r="Q47" s="141">
        <f t="shared" si="22"/>
        <v>-6362.9</v>
      </c>
      <c r="R47" s="142">
        <f t="shared" si="23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f t="shared" si="6"/>
        <v>0</v>
      </c>
      <c r="F48" s="169">
        <v>0</v>
      </c>
      <c r="G48" s="49">
        <f t="shared" si="15"/>
        <v>0</v>
      </c>
      <c r="H48" s="40" t="e">
        <f t="shared" si="16"/>
        <v>#DIV/0!</v>
      </c>
      <c r="I48" s="56">
        <f t="shared" si="19"/>
        <v>0</v>
      </c>
      <c r="J48" s="56" t="e">
        <f t="shared" si="17"/>
        <v>#DIV/0!</v>
      </c>
      <c r="K48" s="56">
        <f t="shared" si="20"/>
        <v>-6172.8</v>
      </c>
      <c r="L48" s="135">
        <f t="shared" si="21"/>
        <v>0</v>
      </c>
      <c r="M48" s="40">
        <f>E48-листопад!E48</f>
        <v>0</v>
      </c>
      <c r="N48" s="40">
        <f>F48-листопад!F48</f>
        <v>0</v>
      </c>
      <c r="O48" s="53">
        <f t="shared" si="3"/>
        <v>0</v>
      </c>
      <c r="P48" s="56" t="e">
        <f t="shared" si="18"/>
        <v>#DIV/0!</v>
      </c>
      <c r="Q48" s="141">
        <f t="shared" si="22"/>
        <v>-6362.9</v>
      </c>
      <c r="R48" s="142">
        <f t="shared" si="23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f t="shared" si="6"/>
        <v>0</v>
      </c>
      <c r="F49" s="169">
        <v>0</v>
      </c>
      <c r="G49" s="49">
        <f t="shared" si="15"/>
        <v>0</v>
      </c>
      <c r="H49" s="40" t="e">
        <f t="shared" si="16"/>
        <v>#DIV/0!</v>
      </c>
      <c r="I49" s="56">
        <f t="shared" si="19"/>
        <v>0</v>
      </c>
      <c r="J49" s="56" t="e">
        <f t="shared" si="17"/>
        <v>#DIV/0!</v>
      </c>
      <c r="K49" s="56">
        <f t="shared" si="20"/>
        <v>-6172.8</v>
      </c>
      <c r="L49" s="135">
        <f t="shared" si="21"/>
        <v>0</v>
      </c>
      <c r="M49" s="40">
        <f>E49-листопад!E49</f>
        <v>0</v>
      </c>
      <c r="N49" s="40">
        <f>F49-листопад!F49</f>
        <v>0</v>
      </c>
      <c r="O49" s="53">
        <f t="shared" si="3"/>
        <v>0</v>
      </c>
      <c r="P49" s="56" t="e">
        <f t="shared" si="18"/>
        <v>#DIV/0!</v>
      </c>
      <c r="Q49" s="141">
        <f t="shared" si="22"/>
        <v>-6362.9</v>
      </c>
      <c r="R49" s="142">
        <f t="shared" si="23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f t="shared" si="6"/>
        <v>0</v>
      </c>
      <c r="F50" s="169">
        <v>0</v>
      </c>
      <c r="G50" s="49">
        <f t="shared" si="15"/>
        <v>0</v>
      </c>
      <c r="H50" s="40" t="e">
        <f t="shared" si="16"/>
        <v>#DIV/0!</v>
      </c>
      <c r="I50" s="56">
        <f t="shared" si="19"/>
        <v>0</v>
      </c>
      <c r="J50" s="56" t="e">
        <f t="shared" si="17"/>
        <v>#DIV/0!</v>
      </c>
      <c r="K50" s="56">
        <f t="shared" si="20"/>
        <v>-6172.8</v>
      </c>
      <c r="L50" s="135">
        <f t="shared" si="21"/>
        <v>0</v>
      </c>
      <c r="M50" s="40">
        <f>E50-листопад!E50</f>
        <v>0</v>
      </c>
      <c r="N50" s="40">
        <f>F50-листопад!F50</f>
        <v>0</v>
      </c>
      <c r="O50" s="53">
        <f t="shared" si="3"/>
        <v>0</v>
      </c>
      <c r="P50" s="56" t="e">
        <f t="shared" si="18"/>
        <v>#DIV/0!</v>
      </c>
      <c r="Q50" s="141">
        <f t="shared" si="22"/>
        <v>-6362.9</v>
      </c>
      <c r="R50" s="142">
        <f t="shared" si="23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f t="shared" si="6"/>
        <v>0</v>
      </c>
      <c r="F51" s="169">
        <v>0</v>
      </c>
      <c r="G51" s="49">
        <f t="shared" si="15"/>
        <v>0</v>
      </c>
      <c r="H51" s="40" t="e">
        <f t="shared" si="16"/>
        <v>#DIV/0!</v>
      </c>
      <c r="I51" s="56">
        <f t="shared" si="19"/>
        <v>0</v>
      </c>
      <c r="J51" s="56" t="e">
        <f t="shared" si="17"/>
        <v>#DIV/0!</v>
      </c>
      <c r="K51" s="56">
        <f t="shared" si="20"/>
        <v>-6172.8</v>
      </c>
      <c r="L51" s="135">
        <f t="shared" si="21"/>
        <v>0</v>
      </c>
      <c r="M51" s="40">
        <f>E51-листопад!E51</f>
        <v>0</v>
      </c>
      <c r="N51" s="40">
        <f>F51-листопад!F51</f>
        <v>0</v>
      </c>
      <c r="O51" s="53">
        <f t="shared" si="3"/>
        <v>0</v>
      </c>
      <c r="P51" s="56" t="e">
        <f t="shared" si="18"/>
        <v>#DIV/0!</v>
      </c>
      <c r="Q51" s="141">
        <f t="shared" si="22"/>
        <v>-6362.9</v>
      </c>
      <c r="R51" s="142">
        <f t="shared" si="23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f t="shared" si="6"/>
        <v>0</v>
      </c>
      <c r="F52" s="169">
        <v>0</v>
      </c>
      <c r="G52" s="49">
        <f t="shared" si="15"/>
        <v>0</v>
      </c>
      <c r="H52" s="40" t="e">
        <f t="shared" si="16"/>
        <v>#DIV/0!</v>
      </c>
      <c r="I52" s="56">
        <f t="shared" si="19"/>
        <v>0</v>
      </c>
      <c r="J52" s="56" t="e">
        <f t="shared" si="17"/>
        <v>#DIV/0!</v>
      </c>
      <c r="K52" s="56">
        <f t="shared" si="20"/>
        <v>-6172.8</v>
      </c>
      <c r="L52" s="135">
        <f t="shared" si="21"/>
        <v>0</v>
      </c>
      <c r="M52" s="40">
        <f>E52-листопад!E52</f>
        <v>0</v>
      </c>
      <c r="N52" s="40">
        <f>F52-листопад!F52</f>
        <v>0</v>
      </c>
      <c r="O52" s="53">
        <f t="shared" si="3"/>
        <v>0</v>
      </c>
      <c r="P52" s="56" t="e">
        <f t="shared" si="18"/>
        <v>#DIV/0!</v>
      </c>
      <c r="Q52" s="141">
        <f t="shared" si="22"/>
        <v>-6362.9</v>
      </c>
      <c r="R52" s="142">
        <f t="shared" si="23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f t="shared" si="6"/>
        <v>0</v>
      </c>
      <c r="F53" s="169">
        <v>0</v>
      </c>
      <c r="G53" s="49">
        <f t="shared" si="15"/>
        <v>0</v>
      </c>
      <c r="H53" s="40" t="e">
        <f t="shared" si="16"/>
        <v>#DIV/0!</v>
      </c>
      <c r="I53" s="56">
        <f t="shared" si="19"/>
        <v>0</v>
      </c>
      <c r="J53" s="56" t="e">
        <f t="shared" si="17"/>
        <v>#DIV/0!</v>
      </c>
      <c r="K53" s="56">
        <f t="shared" si="20"/>
        <v>-6172.8</v>
      </c>
      <c r="L53" s="135">
        <f t="shared" si="21"/>
        <v>0</v>
      </c>
      <c r="M53" s="40">
        <f>E53-листопад!E53</f>
        <v>0</v>
      </c>
      <c r="N53" s="40">
        <f>F53-листопад!F53</f>
        <v>0</v>
      </c>
      <c r="O53" s="53">
        <f t="shared" si="3"/>
        <v>0</v>
      </c>
      <c r="P53" s="56" t="e">
        <f t="shared" si="18"/>
        <v>#DIV/0!</v>
      </c>
      <c r="Q53" s="141">
        <f t="shared" si="22"/>
        <v>-6362.9</v>
      </c>
      <c r="R53" s="142">
        <f t="shared" si="23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f t="shared" si="6"/>
        <v>0</v>
      </c>
      <c r="F54" s="169">
        <v>0</v>
      </c>
      <c r="G54" s="49">
        <f t="shared" si="15"/>
        <v>0</v>
      </c>
      <c r="H54" s="40" t="e">
        <f t="shared" si="16"/>
        <v>#DIV/0!</v>
      </c>
      <c r="I54" s="56">
        <f t="shared" si="19"/>
        <v>0</v>
      </c>
      <c r="J54" s="56" t="e">
        <f t="shared" si="17"/>
        <v>#DIV/0!</v>
      </c>
      <c r="K54" s="56">
        <f t="shared" si="20"/>
        <v>-6172.8</v>
      </c>
      <c r="L54" s="135">
        <f t="shared" si="21"/>
        <v>0</v>
      </c>
      <c r="M54" s="40">
        <f>E54-листопад!E54</f>
        <v>0</v>
      </c>
      <c r="N54" s="40">
        <f>F54-листопад!F54</f>
        <v>0</v>
      </c>
      <c r="O54" s="53">
        <f t="shared" si="3"/>
        <v>0</v>
      </c>
      <c r="P54" s="56" t="e">
        <f t="shared" si="18"/>
        <v>#DIV/0!</v>
      </c>
      <c r="Q54" s="141">
        <f t="shared" si="22"/>
        <v>-6362.9</v>
      </c>
      <c r="R54" s="142">
        <f t="shared" si="23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f t="shared" si="6"/>
        <v>70266</v>
      </c>
      <c r="F55" s="170">
        <v>57778.03</v>
      </c>
      <c r="G55" s="144">
        <f t="shared" si="15"/>
        <v>-12487.970000000001</v>
      </c>
      <c r="H55" s="146">
        <f t="shared" si="16"/>
        <v>82.22757806051291</v>
      </c>
      <c r="I55" s="145">
        <f t="shared" si="19"/>
        <v>-12487.970000000001</v>
      </c>
      <c r="J55" s="145">
        <f t="shared" si="17"/>
        <v>82.22757806051291</v>
      </c>
      <c r="K55" s="148">
        <f>F55-59068.8</f>
        <v>-1290.770000000004</v>
      </c>
      <c r="L55" s="149">
        <f>F55/59068.8</f>
        <v>0.9781480239991331</v>
      </c>
      <c r="M55" s="40">
        <f>E55-листопад!E55</f>
        <v>17417.47</v>
      </c>
      <c r="N55" s="40">
        <f>F55-листопад!F55</f>
        <v>2027.8799999999974</v>
      </c>
      <c r="O55" s="148">
        <f t="shared" si="3"/>
        <v>-15389.590000000004</v>
      </c>
      <c r="P55" s="148">
        <f t="shared" si="18"/>
        <v>11.642793126671078</v>
      </c>
      <c r="Q55" s="160">
        <f>N55-5155.85</f>
        <v>-3127.970000000003</v>
      </c>
      <c r="R55" s="161">
        <f>N55/5155.85</f>
        <v>0.39331632999408384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f t="shared" si="6"/>
        <v>6860</v>
      </c>
      <c r="F56" s="169">
        <f>1.51+6413.66</f>
        <v>6415.17</v>
      </c>
      <c r="G56" s="49">
        <f t="shared" si="15"/>
        <v>-444.8299999999999</v>
      </c>
      <c r="H56" s="40">
        <f t="shared" si="16"/>
        <v>93.51559766763849</v>
      </c>
      <c r="I56" s="56">
        <f t="shared" si="19"/>
        <v>-444.8299999999999</v>
      </c>
      <c r="J56" s="56">
        <f t="shared" si="17"/>
        <v>93.51559766763849</v>
      </c>
      <c r="K56" s="56">
        <f>F56-6243.8</f>
        <v>171.3699999999999</v>
      </c>
      <c r="L56" s="135">
        <f>F56/6243.8</f>
        <v>1.0274464268554406</v>
      </c>
      <c r="M56" s="40">
        <f>E56-листопад!E56</f>
        <v>640.1000000000004</v>
      </c>
      <c r="N56" s="40">
        <f>F56-листопад!F56</f>
        <v>576.0500000000002</v>
      </c>
      <c r="O56" s="53">
        <f t="shared" si="3"/>
        <v>-64.05000000000018</v>
      </c>
      <c r="P56" s="56">
        <f t="shared" si="18"/>
        <v>89.99375097640991</v>
      </c>
      <c r="Q56" s="56">
        <f>N56-583.3</f>
        <v>-7.249999999999773</v>
      </c>
      <c r="R56" s="135">
        <f>N56/583.3</f>
        <v>0.9875707183267619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f t="shared" si="6"/>
        <v>0</v>
      </c>
      <c r="F57" s="169">
        <v>0</v>
      </c>
      <c r="G57" s="49">
        <f t="shared" si="15"/>
        <v>0</v>
      </c>
      <c r="H57" s="40" t="e">
        <f t="shared" si="16"/>
        <v>#DIV/0!</v>
      </c>
      <c r="I57" s="56">
        <f t="shared" si="19"/>
        <v>0</v>
      </c>
      <c r="J57" s="56" t="e">
        <f t="shared" si="17"/>
        <v>#DIV/0!</v>
      </c>
      <c r="K57" s="56"/>
      <c r="L57" s="135">
        <f aca="true" t="shared" si="24" ref="L57:L67">F57</f>
        <v>0</v>
      </c>
      <c r="M57" s="40">
        <f>E57-листопад!E57</f>
        <v>0</v>
      </c>
      <c r="N57" s="40">
        <f>F57-листопад!F57</f>
        <v>0</v>
      </c>
      <c r="O57" s="53">
        <f t="shared" si="3"/>
        <v>0</v>
      </c>
      <c r="P57" s="56" t="e">
        <f t="shared" si="18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f t="shared" si="6"/>
        <v>0</v>
      </c>
      <c r="F58" s="169">
        <v>0</v>
      </c>
      <c r="G58" s="49">
        <f t="shared" si="15"/>
        <v>0</v>
      </c>
      <c r="H58" s="40" t="e">
        <f t="shared" si="16"/>
        <v>#DIV/0!</v>
      </c>
      <c r="I58" s="56">
        <f t="shared" si="19"/>
        <v>0</v>
      </c>
      <c r="J58" s="56" t="e">
        <f t="shared" si="17"/>
        <v>#DIV/0!</v>
      </c>
      <c r="K58" s="56"/>
      <c r="L58" s="135">
        <f t="shared" si="24"/>
        <v>0</v>
      </c>
      <c r="M58" s="40">
        <f>E58-листопад!E58</f>
        <v>0</v>
      </c>
      <c r="N58" s="40">
        <f>F58-листопад!F58</f>
        <v>0</v>
      </c>
      <c r="O58" s="53">
        <f t="shared" si="3"/>
        <v>0</v>
      </c>
      <c r="P58" s="56" t="e">
        <f t="shared" si="18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f t="shared" si="6"/>
        <v>0</v>
      </c>
      <c r="F59" s="169">
        <v>0</v>
      </c>
      <c r="G59" s="49">
        <f t="shared" si="15"/>
        <v>0</v>
      </c>
      <c r="H59" s="40" t="e">
        <f t="shared" si="16"/>
        <v>#DIV/0!</v>
      </c>
      <c r="I59" s="56">
        <f t="shared" si="19"/>
        <v>0</v>
      </c>
      <c r="J59" s="56" t="e">
        <f t="shared" si="17"/>
        <v>#DIV/0!</v>
      </c>
      <c r="K59" s="56"/>
      <c r="L59" s="135">
        <f t="shared" si="24"/>
        <v>0</v>
      </c>
      <c r="M59" s="40">
        <f>E59-листопад!E59</f>
        <v>0</v>
      </c>
      <c r="N59" s="40">
        <f>F59-листопад!F59</f>
        <v>0</v>
      </c>
      <c r="O59" s="53">
        <f t="shared" si="3"/>
        <v>0</v>
      </c>
      <c r="P59" s="56" t="e">
        <f t="shared" si="18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f t="shared" si="6"/>
        <v>0</v>
      </c>
      <c r="F60" s="169">
        <v>0</v>
      </c>
      <c r="G60" s="49">
        <f t="shared" si="15"/>
        <v>0</v>
      </c>
      <c r="H60" s="40" t="e">
        <f t="shared" si="16"/>
        <v>#DIV/0!</v>
      </c>
      <c r="I60" s="56">
        <f t="shared" si="19"/>
        <v>0</v>
      </c>
      <c r="J60" s="56" t="e">
        <f t="shared" si="17"/>
        <v>#DIV/0!</v>
      </c>
      <c r="K60" s="56"/>
      <c r="L60" s="135">
        <f t="shared" si="24"/>
        <v>0</v>
      </c>
      <c r="M60" s="40">
        <f>E60-листопад!E60</f>
        <v>0</v>
      </c>
      <c r="N60" s="40">
        <f>F60-листопад!F60</f>
        <v>0</v>
      </c>
      <c r="O60" s="53">
        <f t="shared" si="3"/>
        <v>0</v>
      </c>
      <c r="P60" s="56" t="e">
        <f t="shared" si="18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f t="shared" si="6"/>
        <v>0</v>
      </c>
      <c r="F61" s="169">
        <v>0</v>
      </c>
      <c r="G61" s="49">
        <f t="shared" si="15"/>
        <v>0</v>
      </c>
      <c r="H61" s="40" t="e">
        <f t="shared" si="16"/>
        <v>#DIV/0!</v>
      </c>
      <c r="I61" s="56">
        <f t="shared" si="19"/>
        <v>0</v>
      </c>
      <c r="J61" s="56" t="e">
        <f t="shared" si="17"/>
        <v>#DIV/0!</v>
      </c>
      <c r="K61" s="56"/>
      <c r="L61" s="135">
        <f t="shared" si="24"/>
        <v>0</v>
      </c>
      <c r="M61" s="40">
        <f>E61-листопад!E61</f>
        <v>0</v>
      </c>
      <c r="N61" s="40">
        <f>F61-листопад!F61</f>
        <v>0</v>
      </c>
      <c r="O61" s="53">
        <f t="shared" si="3"/>
        <v>0</v>
      </c>
      <c r="P61" s="56" t="e">
        <f t="shared" si="18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f t="shared" si="6"/>
        <v>0</v>
      </c>
      <c r="F62" s="169">
        <v>0</v>
      </c>
      <c r="G62" s="49">
        <f t="shared" si="15"/>
        <v>0</v>
      </c>
      <c r="H62" s="40" t="e">
        <f t="shared" si="16"/>
        <v>#DIV/0!</v>
      </c>
      <c r="I62" s="56">
        <f t="shared" si="19"/>
        <v>0</v>
      </c>
      <c r="J62" s="56" t="e">
        <f t="shared" si="17"/>
        <v>#DIV/0!</v>
      </c>
      <c r="K62" s="56"/>
      <c r="L62" s="135">
        <f t="shared" si="24"/>
        <v>0</v>
      </c>
      <c r="M62" s="40">
        <f>E62-листопад!E62</f>
        <v>0</v>
      </c>
      <c r="N62" s="40">
        <f>F62-листопад!F62</f>
        <v>0</v>
      </c>
      <c r="O62" s="53">
        <f t="shared" si="3"/>
        <v>0</v>
      </c>
      <c r="P62" s="56" t="e">
        <f t="shared" si="18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f t="shared" si="6"/>
        <v>0</v>
      </c>
      <c r="F63" s="169">
        <v>0</v>
      </c>
      <c r="G63" s="49">
        <f t="shared" si="15"/>
        <v>0</v>
      </c>
      <c r="H63" s="40" t="e">
        <f t="shared" si="16"/>
        <v>#DIV/0!</v>
      </c>
      <c r="I63" s="56">
        <f t="shared" si="19"/>
        <v>0</v>
      </c>
      <c r="J63" s="56" t="e">
        <f t="shared" si="17"/>
        <v>#DIV/0!</v>
      </c>
      <c r="K63" s="56"/>
      <c r="L63" s="135">
        <f t="shared" si="24"/>
        <v>0</v>
      </c>
      <c r="M63" s="40">
        <f>E63-листопад!E63</f>
        <v>0</v>
      </c>
      <c r="N63" s="40">
        <f>F63-листопад!F63</f>
        <v>0</v>
      </c>
      <c r="O63" s="53">
        <f t="shared" si="3"/>
        <v>0</v>
      </c>
      <c r="P63" s="56" t="e">
        <f t="shared" si="18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f t="shared" si="6"/>
        <v>0</v>
      </c>
      <c r="F64" s="169">
        <v>0</v>
      </c>
      <c r="G64" s="49">
        <f t="shared" si="15"/>
        <v>0</v>
      </c>
      <c r="H64" s="40" t="e">
        <f t="shared" si="16"/>
        <v>#DIV/0!</v>
      </c>
      <c r="I64" s="56">
        <f t="shared" si="19"/>
        <v>0</v>
      </c>
      <c r="J64" s="56" t="e">
        <f t="shared" si="17"/>
        <v>#DIV/0!</v>
      </c>
      <c r="K64" s="56"/>
      <c r="L64" s="135">
        <f t="shared" si="24"/>
        <v>0</v>
      </c>
      <c r="M64" s="40">
        <f>E64-листопад!E64</f>
        <v>0</v>
      </c>
      <c r="N64" s="40">
        <f>F64-листопад!F64</f>
        <v>0</v>
      </c>
      <c r="O64" s="53">
        <f t="shared" si="3"/>
        <v>0</v>
      </c>
      <c r="P64" s="56" t="e">
        <f t="shared" si="18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f t="shared" si="6"/>
        <v>0</v>
      </c>
      <c r="F65" s="169">
        <v>0</v>
      </c>
      <c r="G65" s="49">
        <f t="shared" si="15"/>
        <v>0</v>
      </c>
      <c r="H65" s="40" t="e">
        <f t="shared" si="16"/>
        <v>#DIV/0!</v>
      </c>
      <c r="I65" s="56">
        <f t="shared" si="19"/>
        <v>0</v>
      </c>
      <c r="J65" s="56" t="e">
        <f t="shared" si="17"/>
        <v>#DIV/0!</v>
      </c>
      <c r="K65" s="56"/>
      <c r="L65" s="135">
        <f t="shared" si="24"/>
        <v>0</v>
      </c>
      <c r="M65" s="40">
        <f>E65-листопад!E65</f>
        <v>0</v>
      </c>
      <c r="N65" s="40">
        <f>F65-листопад!F65</f>
        <v>0</v>
      </c>
      <c r="O65" s="53">
        <f t="shared" si="3"/>
        <v>0</v>
      </c>
      <c r="P65" s="56" t="e">
        <f t="shared" si="18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f t="shared" si="6"/>
        <v>0</v>
      </c>
      <c r="F66" s="169">
        <v>0</v>
      </c>
      <c r="G66" s="49">
        <f t="shared" si="15"/>
        <v>0</v>
      </c>
      <c r="H66" s="40" t="e">
        <f t="shared" si="16"/>
        <v>#DIV/0!</v>
      </c>
      <c r="I66" s="56">
        <f t="shared" si="19"/>
        <v>0</v>
      </c>
      <c r="J66" s="56" t="e">
        <f t="shared" si="17"/>
        <v>#DIV/0!</v>
      </c>
      <c r="K66" s="56"/>
      <c r="L66" s="135">
        <f t="shared" si="24"/>
        <v>0</v>
      </c>
      <c r="M66" s="40">
        <f>E66-листопад!E66</f>
        <v>0</v>
      </c>
      <c r="N66" s="40">
        <f>F66-листопад!F66</f>
        <v>0</v>
      </c>
      <c r="O66" s="53">
        <f t="shared" si="3"/>
        <v>0</v>
      </c>
      <c r="P66" s="56" t="e">
        <f t="shared" si="18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f t="shared" si="6"/>
        <v>0</v>
      </c>
      <c r="F67" s="169">
        <v>0</v>
      </c>
      <c r="G67" s="49">
        <f t="shared" si="15"/>
        <v>0</v>
      </c>
      <c r="H67" s="40" t="e">
        <f t="shared" si="16"/>
        <v>#DIV/0!</v>
      </c>
      <c r="I67" s="56">
        <f t="shared" si="19"/>
        <v>0</v>
      </c>
      <c r="J67" s="56" t="e">
        <f t="shared" si="17"/>
        <v>#DIV/0!</v>
      </c>
      <c r="K67" s="56"/>
      <c r="L67" s="135">
        <f t="shared" si="24"/>
        <v>0</v>
      </c>
      <c r="M67" s="40">
        <f>E67-листопад!E67</f>
        <v>0</v>
      </c>
      <c r="N67" s="40">
        <f>F67-листопад!F67</f>
        <v>0</v>
      </c>
      <c r="O67" s="53">
        <f t="shared" si="3"/>
        <v>0</v>
      </c>
      <c r="P67" s="56" t="e">
        <f t="shared" si="18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f t="shared" si="6"/>
        <v>0.1</v>
      </c>
      <c r="F68" s="169">
        <v>1.95</v>
      </c>
      <c r="G68" s="49">
        <f t="shared" si="15"/>
        <v>1.8499999999999999</v>
      </c>
      <c r="H68" s="40"/>
      <c r="I68" s="56">
        <f t="shared" si="19"/>
        <v>1.8499999999999999</v>
      </c>
      <c r="J68" s="56">
        <f t="shared" si="17"/>
        <v>1950</v>
      </c>
      <c r="K68" s="56">
        <f>F68-(-1.7)</f>
        <v>3.65</v>
      </c>
      <c r="L68" s="135"/>
      <c r="M68" s="40">
        <f>E68-листопад!E68</f>
        <v>0</v>
      </c>
      <c r="N68" s="40">
        <f>F68-листопад!F68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5"/>
        <v>0</v>
      </c>
      <c r="H69" s="40" t="e">
        <f>F69/E69*100</f>
        <v>#DIV/0!</v>
      </c>
      <c r="I69" s="56">
        <f t="shared" si="19"/>
        <v>0</v>
      </c>
      <c r="J69" s="56" t="e">
        <f t="shared" si="17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5"/>
        <v>0</v>
      </c>
      <c r="H70" s="40" t="e">
        <f>F70/E70*100</f>
        <v>#DIV/0!</v>
      </c>
      <c r="I70" s="56">
        <f t="shared" si="19"/>
        <v>0</v>
      </c>
      <c r="J70" s="56" t="e">
        <f t="shared" si="17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5"/>
        <v>0</v>
      </c>
      <c r="H71" s="40" t="e">
        <f>F71/E71*100</f>
        <v>#DIV/0!</v>
      </c>
      <c r="I71" s="56">
        <f t="shared" si="19"/>
        <v>-4590</v>
      </c>
      <c r="J71" s="56">
        <f t="shared" si="17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5"/>
        <v>0</v>
      </c>
      <c r="H72" s="40" t="e">
        <f>F72/E72*100</f>
        <v>#DIV/0!</v>
      </c>
      <c r="I72" s="56">
        <f t="shared" si="19"/>
        <v>-4410</v>
      </c>
      <c r="J72" s="56">
        <f t="shared" si="17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18358.3</v>
      </c>
      <c r="F74" s="22">
        <f>F77+F86+F88+F89+F94+F95+F96+F97+F99+F104+F87+F103</f>
        <v>12875.41</v>
      </c>
      <c r="G74" s="50">
        <f aca="true" t="shared" si="25" ref="G74:G92">F74-E74</f>
        <v>-5482.889999999999</v>
      </c>
      <c r="H74" s="51">
        <f aca="true" t="shared" si="26" ref="H74:H87">F74/E74*100</f>
        <v>70.13399933545045</v>
      </c>
      <c r="I74" s="36">
        <f aca="true" t="shared" si="27" ref="I74:I92">F74-D74</f>
        <v>-5482.889999999999</v>
      </c>
      <c r="J74" s="36">
        <f aca="true" t="shared" si="28" ref="J74:J92">F74/D74*100</f>
        <v>70.13399933545045</v>
      </c>
      <c r="K74" s="36">
        <f>F74-19611.3</f>
        <v>-6735.889999999999</v>
      </c>
      <c r="L74" s="136">
        <f>F74/19611.3</f>
        <v>0.656530163732134</v>
      </c>
      <c r="M74" s="22">
        <f>M77+M86+M88+M89+M94+M95+M96+M97+M99+M87+M104</f>
        <v>3081.2999999999997</v>
      </c>
      <c r="N74" s="22">
        <f>N77+N86+N88+N89+N94+N95+N96+N97+N99+N32+N104+N87+N103</f>
        <v>971.0100000000002</v>
      </c>
      <c r="O74" s="55">
        <f aca="true" t="shared" si="29" ref="O74:O92">N74-M74</f>
        <v>-2110.2899999999995</v>
      </c>
      <c r="P74" s="36">
        <f>N74/M74*100</f>
        <v>31.512997760685437</v>
      </c>
      <c r="Q74" s="36">
        <f>N74-1783.5</f>
        <v>-812.4899999999998</v>
      </c>
      <c r="R74" s="136">
        <f>N74/1783.5</f>
        <v>0.5444407064760304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5"/>
        <v>#REF!</v>
      </c>
      <c r="H75" s="40" t="e">
        <f t="shared" si="26"/>
        <v>#REF!</v>
      </c>
      <c r="I75" s="56" t="e">
        <f t="shared" si="27"/>
        <v>#REF!</v>
      </c>
      <c r="J75" s="56" t="e">
        <f t="shared" si="28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9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5"/>
        <v>0</v>
      </c>
      <c r="H76" s="40" t="e">
        <f t="shared" si="26"/>
        <v>#DIV/0!</v>
      </c>
      <c r="I76" s="56" t="e">
        <f t="shared" si="27"/>
        <v>#REF!</v>
      </c>
      <c r="J76" s="56" t="e">
        <f t="shared" si="28"/>
        <v>#REF!</v>
      </c>
      <c r="K76" s="56"/>
      <c r="L76" s="135"/>
      <c r="M76" s="59"/>
      <c r="N76" s="59"/>
      <c r="O76" s="53">
        <f t="shared" si="29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f>D77</f>
        <v>500</v>
      </c>
      <c r="F77" s="169">
        <v>153.52</v>
      </c>
      <c r="G77" s="49">
        <f t="shared" si="25"/>
        <v>-346.48</v>
      </c>
      <c r="H77" s="40">
        <f t="shared" si="26"/>
        <v>30.704000000000004</v>
      </c>
      <c r="I77" s="56">
        <f t="shared" si="27"/>
        <v>-346.48</v>
      </c>
      <c r="J77" s="56">
        <f t="shared" si="28"/>
        <v>30.704000000000004</v>
      </c>
      <c r="K77" s="167">
        <f>F77-1727.8</f>
        <v>-1574.28</v>
      </c>
      <c r="L77" s="168">
        <f>F77/1727.8</f>
        <v>0.08885287649033453</v>
      </c>
      <c r="M77" s="40">
        <f>E77-листопад!E77</f>
        <v>340</v>
      </c>
      <c r="N77" s="40">
        <f>F77-листопад!F77</f>
        <v>0</v>
      </c>
      <c r="O77" s="53">
        <f t="shared" si="29"/>
        <v>-340</v>
      </c>
      <c r="P77" s="56">
        <f aca="true" t="shared" si="30" ref="P77:P87">N77/M77*100</f>
        <v>0</v>
      </c>
      <c r="Q77" s="56">
        <f>N77-0</f>
        <v>0</v>
      </c>
      <c r="R77" s="135"/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f aca="true" t="shared" si="31" ref="E78:E106">D78</f>
        <v>0</v>
      </c>
      <c r="F78" s="169">
        <v>0</v>
      </c>
      <c r="G78" s="49">
        <f t="shared" si="25"/>
        <v>0</v>
      </c>
      <c r="H78" s="40" t="e">
        <f t="shared" si="26"/>
        <v>#DIV/0!</v>
      </c>
      <c r="I78" s="56">
        <f t="shared" si="27"/>
        <v>0</v>
      </c>
      <c r="J78" s="56" t="e">
        <f t="shared" si="28"/>
        <v>#DIV/0!</v>
      </c>
      <c r="K78" s="56"/>
      <c r="L78" s="135">
        <f aca="true" t="shared" si="32" ref="L78:L85">F78/1273.9</f>
        <v>0</v>
      </c>
      <c r="M78" s="40">
        <f>E78-листопад!E78</f>
        <v>0</v>
      </c>
      <c r="N78" s="40">
        <f>F78-листопад!F78</f>
        <v>0</v>
      </c>
      <c r="O78" s="53">
        <f t="shared" si="29"/>
        <v>0</v>
      </c>
      <c r="P78" s="56" t="e">
        <f t="shared" si="30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f t="shared" si="31"/>
        <v>0</v>
      </c>
      <c r="F79" s="169">
        <v>0</v>
      </c>
      <c r="G79" s="49">
        <f t="shared" si="25"/>
        <v>0</v>
      </c>
      <c r="H79" s="40" t="e">
        <f t="shared" si="26"/>
        <v>#DIV/0!</v>
      </c>
      <c r="I79" s="56">
        <f t="shared" si="27"/>
        <v>0</v>
      </c>
      <c r="J79" s="56" t="e">
        <f t="shared" si="28"/>
        <v>#DIV/0!</v>
      </c>
      <c r="K79" s="56"/>
      <c r="L79" s="135">
        <f t="shared" si="32"/>
        <v>0</v>
      </c>
      <c r="M79" s="40">
        <f>E79-листопад!E79</f>
        <v>0</v>
      </c>
      <c r="N79" s="40">
        <f>F79-листопад!F79</f>
        <v>0</v>
      </c>
      <c r="O79" s="53">
        <f t="shared" si="29"/>
        <v>0</v>
      </c>
      <c r="P79" s="56" t="e">
        <f t="shared" si="30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f t="shared" si="31"/>
        <v>0</v>
      </c>
      <c r="F80" s="169">
        <v>0</v>
      </c>
      <c r="G80" s="49">
        <f t="shared" si="25"/>
        <v>0</v>
      </c>
      <c r="H80" s="40" t="e">
        <f t="shared" si="26"/>
        <v>#DIV/0!</v>
      </c>
      <c r="I80" s="56">
        <f t="shared" si="27"/>
        <v>0</v>
      </c>
      <c r="J80" s="56" t="e">
        <f t="shared" si="28"/>
        <v>#DIV/0!</v>
      </c>
      <c r="K80" s="56"/>
      <c r="L80" s="135">
        <f t="shared" si="32"/>
        <v>0</v>
      </c>
      <c r="M80" s="40">
        <f>E80-листопад!E80</f>
        <v>0</v>
      </c>
      <c r="N80" s="40">
        <f>F80-листопад!F80</f>
        <v>0</v>
      </c>
      <c r="O80" s="53">
        <f t="shared" si="29"/>
        <v>0</v>
      </c>
      <c r="P80" s="56" t="e">
        <f t="shared" si="30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f t="shared" si="31"/>
        <v>0</v>
      </c>
      <c r="F81" s="169">
        <v>0</v>
      </c>
      <c r="G81" s="49">
        <f t="shared" si="25"/>
        <v>0</v>
      </c>
      <c r="H81" s="40" t="e">
        <f t="shared" si="26"/>
        <v>#DIV/0!</v>
      </c>
      <c r="I81" s="56">
        <f t="shared" si="27"/>
        <v>0</v>
      </c>
      <c r="J81" s="56" t="e">
        <f t="shared" si="28"/>
        <v>#DIV/0!</v>
      </c>
      <c r="K81" s="56"/>
      <c r="L81" s="135">
        <f t="shared" si="32"/>
        <v>0</v>
      </c>
      <c r="M81" s="40">
        <f>E81-листопад!E81</f>
        <v>0</v>
      </c>
      <c r="N81" s="40">
        <f>F81-листопад!F81</f>
        <v>0</v>
      </c>
      <c r="O81" s="53">
        <f t="shared" si="29"/>
        <v>0</v>
      </c>
      <c r="P81" s="56" t="e">
        <f t="shared" si="30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f t="shared" si="31"/>
        <v>0</v>
      </c>
      <c r="F82" s="169">
        <v>0</v>
      </c>
      <c r="G82" s="49">
        <f t="shared" si="25"/>
        <v>0</v>
      </c>
      <c r="H82" s="40" t="e">
        <f t="shared" si="26"/>
        <v>#DIV/0!</v>
      </c>
      <c r="I82" s="56">
        <f t="shared" si="27"/>
        <v>0</v>
      </c>
      <c r="J82" s="56" t="e">
        <f t="shared" si="28"/>
        <v>#DIV/0!</v>
      </c>
      <c r="K82" s="56"/>
      <c r="L82" s="135">
        <f t="shared" si="32"/>
        <v>0</v>
      </c>
      <c r="M82" s="40">
        <f>E82-листопад!E82</f>
        <v>0</v>
      </c>
      <c r="N82" s="40">
        <f>F82-листопад!F82</f>
        <v>0</v>
      </c>
      <c r="O82" s="53">
        <f t="shared" si="29"/>
        <v>0</v>
      </c>
      <c r="P82" s="56" t="e">
        <f t="shared" si="30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f t="shared" si="31"/>
        <v>0</v>
      </c>
      <c r="F83" s="169">
        <v>0</v>
      </c>
      <c r="G83" s="49">
        <f t="shared" si="25"/>
        <v>0</v>
      </c>
      <c r="H83" s="40" t="e">
        <f t="shared" si="26"/>
        <v>#DIV/0!</v>
      </c>
      <c r="I83" s="56">
        <f t="shared" si="27"/>
        <v>0</v>
      </c>
      <c r="J83" s="56" t="e">
        <f t="shared" si="28"/>
        <v>#DIV/0!</v>
      </c>
      <c r="K83" s="56"/>
      <c r="L83" s="135">
        <f t="shared" si="32"/>
        <v>0</v>
      </c>
      <c r="M83" s="40">
        <f>E83-листопад!E83</f>
        <v>0</v>
      </c>
      <c r="N83" s="40">
        <f>F83-листопад!F83</f>
        <v>0</v>
      </c>
      <c r="O83" s="53">
        <f t="shared" si="29"/>
        <v>0</v>
      </c>
      <c r="P83" s="56" t="e">
        <f t="shared" si="30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f t="shared" si="31"/>
        <v>0</v>
      </c>
      <c r="F84" s="169">
        <v>0</v>
      </c>
      <c r="G84" s="49">
        <f t="shared" si="25"/>
        <v>0</v>
      </c>
      <c r="H84" s="40" t="e">
        <f t="shared" si="26"/>
        <v>#DIV/0!</v>
      </c>
      <c r="I84" s="56">
        <f t="shared" si="27"/>
        <v>0</v>
      </c>
      <c r="J84" s="56" t="e">
        <f t="shared" si="28"/>
        <v>#DIV/0!</v>
      </c>
      <c r="K84" s="56"/>
      <c r="L84" s="135">
        <f t="shared" si="32"/>
        <v>0</v>
      </c>
      <c r="M84" s="40">
        <f>E84-листопад!E84</f>
        <v>0</v>
      </c>
      <c r="N84" s="40">
        <f>F84-листопад!F84</f>
        <v>0</v>
      </c>
      <c r="O84" s="53">
        <f t="shared" si="29"/>
        <v>0</v>
      </c>
      <c r="P84" s="56" t="e">
        <f t="shared" si="30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f t="shared" si="31"/>
        <v>0</v>
      </c>
      <c r="F85" s="169">
        <v>0</v>
      </c>
      <c r="G85" s="49">
        <f t="shared" si="25"/>
        <v>0</v>
      </c>
      <c r="H85" s="40" t="e">
        <f t="shared" si="26"/>
        <v>#DIV/0!</v>
      </c>
      <c r="I85" s="56">
        <f t="shared" si="27"/>
        <v>0</v>
      </c>
      <c r="J85" s="56" t="e">
        <f t="shared" si="28"/>
        <v>#DIV/0!</v>
      </c>
      <c r="K85" s="56"/>
      <c r="L85" s="135">
        <f t="shared" si="32"/>
        <v>0</v>
      </c>
      <c r="M85" s="40">
        <f>E85-листопад!E85</f>
        <v>0</v>
      </c>
      <c r="N85" s="40">
        <f>F85-листопад!F85</f>
        <v>0</v>
      </c>
      <c r="O85" s="53">
        <f t="shared" si="29"/>
        <v>0</v>
      </c>
      <c r="P85" s="56" t="e">
        <f t="shared" si="30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f t="shared" si="31"/>
        <v>4300</v>
      </c>
      <c r="F86" s="169">
        <v>0</v>
      </c>
      <c r="G86" s="49">
        <f t="shared" si="25"/>
        <v>-4300</v>
      </c>
      <c r="H86" s="40">
        <f t="shared" si="26"/>
        <v>0</v>
      </c>
      <c r="I86" s="56">
        <f t="shared" si="27"/>
        <v>-4300</v>
      </c>
      <c r="J86" s="56">
        <f t="shared" si="28"/>
        <v>0</v>
      </c>
      <c r="K86" s="167">
        <f>F86-4309.2</f>
        <v>-4309.2</v>
      </c>
      <c r="L86" s="168"/>
      <c r="M86" s="40">
        <f>E86-листопад!E86</f>
        <v>740</v>
      </c>
      <c r="N86" s="40">
        <f>F86-листопад!F86</f>
        <v>0</v>
      </c>
      <c r="O86" s="53">
        <f t="shared" si="29"/>
        <v>-740</v>
      </c>
      <c r="P86" s="56">
        <f t="shared" si="30"/>
        <v>0</v>
      </c>
      <c r="Q86" s="56">
        <f>N86-736.8</f>
        <v>-736.8</v>
      </c>
      <c r="R86" s="135">
        <f>N86/736.8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f t="shared" si="31"/>
        <v>500</v>
      </c>
      <c r="F87" s="169">
        <v>272.16</v>
      </c>
      <c r="G87" s="49">
        <f t="shared" si="25"/>
        <v>-227.83999999999997</v>
      </c>
      <c r="H87" s="40">
        <f t="shared" si="26"/>
        <v>54.432</v>
      </c>
      <c r="I87" s="56">
        <f t="shared" si="27"/>
        <v>-227.83999999999997</v>
      </c>
      <c r="J87" s="56">
        <f t="shared" si="28"/>
        <v>54.432</v>
      </c>
      <c r="K87" s="56">
        <f>F87-264.6</f>
        <v>7.560000000000002</v>
      </c>
      <c r="L87" s="135">
        <f>F87/264.6</f>
        <v>1.0285714285714285</v>
      </c>
      <c r="M87" s="40">
        <f>E87-листопад!E87</f>
        <v>280</v>
      </c>
      <c r="N87" s="40">
        <f>F87-листопад!F87</f>
        <v>29.370000000000033</v>
      </c>
      <c r="O87" s="53">
        <f t="shared" si="29"/>
        <v>-250.62999999999997</v>
      </c>
      <c r="P87" s="56">
        <f t="shared" si="30"/>
        <v>10.489285714285726</v>
      </c>
      <c r="Q87" s="56">
        <f>N87-36.8</f>
        <v>-7.429999999999964</v>
      </c>
      <c r="R87" s="135">
        <f>N87/36.8</f>
        <v>0.7980978260869575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f t="shared" si="31"/>
        <v>5.1</v>
      </c>
      <c r="F88" s="169">
        <v>5.94</v>
      </c>
      <c r="G88" s="49">
        <f t="shared" si="25"/>
        <v>0.8400000000000007</v>
      </c>
      <c r="H88" s="40">
        <f>F88/E88*100</f>
        <v>116.47058823529413</v>
      </c>
      <c r="I88" s="56">
        <f t="shared" si="27"/>
        <v>0.8400000000000007</v>
      </c>
      <c r="J88" s="56">
        <f t="shared" si="28"/>
        <v>116.47058823529413</v>
      </c>
      <c r="K88" s="56">
        <f>F88-4.9</f>
        <v>1.04</v>
      </c>
      <c r="L88" s="135"/>
      <c r="M88" s="40">
        <f>E88-листопад!E88</f>
        <v>0.5999999999999996</v>
      </c>
      <c r="N88" s="40">
        <f>F88-листопад!F88</f>
        <v>0</v>
      </c>
      <c r="O88" s="53">
        <f t="shared" si="29"/>
        <v>-0.5999999999999996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f t="shared" si="31"/>
        <v>175</v>
      </c>
      <c r="F89" s="169">
        <v>131.22</v>
      </c>
      <c r="G89" s="49">
        <f t="shared" si="25"/>
        <v>-43.78</v>
      </c>
      <c r="H89" s="40">
        <f>F89/E89*100</f>
        <v>74.98285714285714</v>
      </c>
      <c r="I89" s="56">
        <f t="shared" si="27"/>
        <v>-43.78</v>
      </c>
      <c r="J89" s="56">
        <f t="shared" si="28"/>
        <v>74.98285714285714</v>
      </c>
      <c r="K89" s="56">
        <f>F89-166.8</f>
        <v>-35.58000000000001</v>
      </c>
      <c r="L89" s="135">
        <f>F89/166.8</f>
        <v>0.7866906474820143</v>
      </c>
      <c r="M89" s="40">
        <f>E89-листопад!E89</f>
        <v>16</v>
      </c>
      <c r="N89" s="40">
        <f>F89-листопад!F89</f>
        <v>9.659999999999997</v>
      </c>
      <c r="O89" s="53">
        <f t="shared" si="29"/>
        <v>-6.340000000000003</v>
      </c>
      <c r="P89" s="56">
        <f>N89/M89*100</f>
        <v>60.37499999999998</v>
      </c>
      <c r="Q89" s="56">
        <f>N89-18.9</f>
        <v>-9.240000000000002</v>
      </c>
      <c r="R89" s="135">
        <f>N89/18.9</f>
        <v>0.511111111111111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f t="shared" si="31"/>
        <v>0</v>
      </c>
      <c r="F90" s="169">
        <v>0</v>
      </c>
      <c r="G90" s="49">
        <f t="shared" si="25"/>
        <v>0</v>
      </c>
      <c r="H90" s="40" t="e">
        <f>F90/E90*100</f>
        <v>#DIV/0!</v>
      </c>
      <c r="I90" s="56">
        <f t="shared" si="27"/>
        <v>0</v>
      </c>
      <c r="J90" s="56" t="e">
        <f t="shared" si="28"/>
        <v>#DIV/0!</v>
      </c>
      <c r="K90" s="56"/>
      <c r="L90" s="135">
        <f>F90</f>
        <v>0</v>
      </c>
      <c r="M90" s="40">
        <f>E90-листопад!E90</f>
        <v>0</v>
      </c>
      <c r="N90" s="40">
        <f>F90-листопад!F90</f>
        <v>0</v>
      </c>
      <c r="O90" s="53">
        <f t="shared" si="29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f t="shared" si="31"/>
        <v>0</v>
      </c>
      <c r="F91" s="169">
        <v>0</v>
      </c>
      <c r="G91" s="49">
        <f t="shared" si="25"/>
        <v>0</v>
      </c>
      <c r="H91" s="40" t="e">
        <f>F91/E91*100</f>
        <v>#DIV/0!</v>
      </c>
      <c r="I91" s="56">
        <f t="shared" si="27"/>
        <v>0</v>
      </c>
      <c r="J91" s="56" t="e">
        <f t="shared" si="28"/>
        <v>#DIV/0!</v>
      </c>
      <c r="K91" s="56"/>
      <c r="L91" s="135">
        <f>F91</f>
        <v>0</v>
      </c>
      <c r="M91" s="40">
        <f>E91-листопад!E91</f>
        <v>0</v>
      </c>
      <c r="N91" s="40">
        <f>F91-листопад!F91</f>
        <v>0</v>
      </c>
      <c r="O91" s="53">
        <f t="shared" si="29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f t="shared" si="31"/>
        <v>0</v>
      </c>
      <c r="F92" s="169">
        <v>0</v>
      </c>
      <c r="G92" s="49">
        <f t="shared" si="25"/>
        <v>0</v>
      </c>
      <c r="H92" s="40" t="e">
        <f>F92/E92*100</f>
        <v>#DIV/0!</v>
      </c>
      <c r="I92" s="56">
        <f t="shared" si="27"/>
        <v>0</v>
      </c>
      <c r="J92" s="56" t="e">
        <f t="shared" si="28"/>
        <v>#DIV/0!</v>
      </c>
      <c r="K92" s="56"/>
      <c r="L92" s="135">
        <f>F92</f>
        <v>0</v>
      </c>
      <c r="M92" s="40">
        <f>E92-листопад!E92</f>
        <v>0</v>
      </c>
      <c r="N92" s="40">
        <f>F92-листопад!F92</f>
        <v>0</v>
      </c>
      <c r="O92" s="53">
        <f t="shared" si="29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f t="shared" si="31"/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E93-листопад!E93</f>
        <v>0</v>
      </c>
      <c r="N93" s="40">
        <f>F93-листопад!F93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f t="shared" si="31"/>
        <v>0</v>
      </c>
      <c r="F94" s="169">
        <v>0</v>
      </c>
      <c r="G94" s="49">
        <f aca="true" t="shared" si="33" ref="G94:G101">F94-E94</f>
        <v>0</v>
      </c>
      <c r="H94" s="40"/>
      <c r="I94" s="56">
        <f aca="true" t="shared" si="34" ref="I94:I100">F94-D94</f>
        <v>0</v>
      </c>
      <c r="J94" s="56"/>
      <c r="K94" s="56"/>
      <c r="L94" s="135">
        <f>F94</f>
        <v>0</v>
      </c>
      <c r="M94" s="40">
        <f>E94-листопад!E94</f>
        <v>0</v>
      </c>
      <c r="N94" s="40">
        <f>F94-листопад!F94</f>
        <v>0</v>
      </c>
      <c r="O94" s="53">
        <f aca="true" t="shared" si="35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f t="shared" si="31"/>
        <v>7000</v>
      </c>
      <c r="F95" s="169">
        <v>7153.35</v>
      </c>
      <c r="G95" s="49">
        <f t="shared" si="33"/>
        <v>153.35000000000036</v>
      </c>
      <c r="H95" s="40">
        <f>F95/E95*100</f>
        <v>102.1907142857143</v>
      </c>
      <c r="I95" s="56">
        <f t="shared" si="34"/>
        <v>153.35000000000036</v>
      </c>
      <c r="J95" s="56">
        <f>F95/D95*100</f>
        <v>102.1907142857143</v>
      </c>
      <c r="K95" s="56">
        <f>F95-7293.9</f>
        <v>-140.54999999999927</v>
      </c>
      <c r="L95" s="135">
        <f>F95/7293.9</f>
        <v>0.9807304734092873</v>
      </c>
      <c r="M95" s="40">
        <f>E95-листопад!E95</f>
        <v>593.5</v>
      </c>
      <c r="N95" s="40">
        <f>F95-листопад!F95</f>
        <v>579.4400000000005</v>
      </c>
      <c r="O95" s="53">
        <f t="shared" si="35"/>
        <v>-14.05999999999949</v>
      </c>
      <c r="P95" s="56">
        <f>N95/M95*100</f>
        <v>97.63100252738003</v>
      </c>
      <c r="Q95" s="56">
        <f>N95-532.9</f>
        <v>46.54000000000053</v>
      </c>
      <c r="R95" s="135">
        <f>N95/532.9</f>
        <v>1.0873334584349794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f t="shared" si="31"/>
        <v>1200</v>
      </c>
      <c r="F96" s="169">
        <v>1053.47</v>
      </c>
      <c r="G96" s="49">
        <f t="shared" si="33"/>
        <v>-146.52999999999997</v>
      </c>
      <c r="H96" s="40">
        <f>F96/E96*100</f>
        <v>87.78916666666667</v>
      </c>
      <c r="I96" s="56">
        <f t="shared" si="34"/>
        <v>-146.52999999999997</v>
      </c>
      <c r="J96" s="56">
        <f>F96/D96*100</f>
        <v>87.78916666666667</v>
      </c>
      <c r="K96" s="56">
        <f>F96-1134.1</f>
        <v>-80.62999999999988</v>
      </c>
      <c r="L96" s="135">
        <f>F96/1134.1</f>
        <v>0.9289039767216296</v>
      </c>
      <c r="M96" s="40">
        <f>E96-листопад!E96</f>
        <v>185.5</v>
      </c>
      <c r="N96" s="40">
        <f>F96-листопад!F96</f>
        <v>78.02999999999997</v>
      </c>
      <c r="O96" s="53">
        <f t="shared" si="35"/>
        <v>-107.47000000000003</v>
      </c>
      <c r="P96" s="56">
        <f>N96/M96*100</f>
        <v>42.06469002695417</v>
      </c>
      <c r="Q96" s="56">
        <f>N96-120.3</f>
        <v>-42.270000000000024</v>
      </c>
      <c r="R96" s="135">
        <f>N96/120.3</f>
        <v>0.6486284289276806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f t="shared" si="31"/>
        <v>40</v>
      </c>
      <c r="F97" s="169">
        <v>0.53</v>
      </c>
      <c r="G97" s="49">
        <f t="shared" si="33"/>
        <v>-39.47</v>
      </c>
      <c r="H97" s="40"/>
      <c r="I97" s="56">
        <f t="shared" si="34"/>
        <v>-39.47</v>
      </c>
      <c r="J97" s="56"/>
      <c r="K97" s="56">
        <f>F97-56.5</f>
        <v>-55.97</v>
      </c>
      <c r="L97" s="135">
        <f>F97/56.5</f>
        <v>0.009380530973451328</v>
      </c>
      <c r="M97" s="40">
        <f>E97-листопад!E97</f>
        <v>20</v>
      </c>
      <c r="N97" s="40">
        <f>F97-листопад!F97</f>
        <v>0</v>
      </c>
      <c r="O97" s="53">
        <f t="shared" si="35"/>
        <v>-20</v>
      </c>
      <c r="P97" s="56"/>
      <c r="Q97" s="56">
        <f>N97-16</f>
        <v>-16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f t="shared" si="31"/>
        <v>0</v>
      </c>
      <c r="F98" s="169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135">
        <f>F98</f>
        <v>0</v>
      </c>
      <c r="M98" s="40">
        <f>E98-листопад!E98</f>
        <v>0</v>
      </c>
      <c r="N98" s="40">
        <f>F98-листопад!F98</f>
        <v>0</v>
      </c>
      <c r="O98" s="53">
        <f t="shared" si="35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f t="shared" si="31"/>
        <v>4572.7</v>
      </c>
      <c r="F99" s="169">
        <v>4087.2</v>
      </c>
      <c r="G99" s="49">
        <f t="shared" si="33"/>
        <v>-485.5</v>
      </c>
      <c r="H99" s="40">
        <f>F99/E99*100</f>
        <v>89.38264045312397</v>
      </c>
      <c r="I99" s="56">
        <f t="shared" si="34"/>
        <v>-485.5</v>
      </c>
      <c r="J99" s="56">
        <f>F99/D99*100</f>
        <v>89.38264045312397</v>
      </c>
      <c r="K99" s="56">
        <f>F99-4500.7</f>
        <v>-413.5</v>
      </c>
      <c r="L99" s="135">
        <f>F99/4500.7</f>
        <v>0.9081254027151332</v>
      </c>
      <c r="M99" s="40">
        <f>E99-листопад!E99</f>
        <v>905.6999999999998</v>
      </c>
      <c r="N99" s="40">
        <f>F99-листопад!F99</f>
        <v>274.50999999999976</v>
      </c>
      <c r="O99" s="53">
        <f t="shared" si="35"/>
        <v>-631.19</v>
      </c>
      <c r="P99" s="56">
        <f>N99/M99*100</f>
        <v>30.309153141216715</v>
      </c>
      <c r="Q99" s="56">
        <f>N99-321.9</f>
        <v>-47.390000000000214</v>
      </c>
      <c r="R99" s="135">
        <f>N99/321.9</f>
        <v>0.8527803665734693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f t="shared" si="31"/>
        <v>0</v>
      </c>
      <c r="F100" s="169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135">
        <f>F100</f>
        <v>0</v>
      </c>
      <c r="M100" s="40">
        <f>E100-листопад!E100</f>
        <v>0</v>
      </c>
      <c r="N100" s="40">
        <f>F100-листопад!F100</f>
        <v>0</v>
      </c>
      <c r="O100" s="53">
        <f t="shared" si="35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f t="shared" si="31"/>
        <v>0</v>
      </c>
      <c r="F101" s="169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E101-листопад!E101</f>
        <v>0</v>
      </c>
      <c r="N101" s="40">
        <f>F101-листопад!F101</f>
        <v>0</v>
      </c>
      <c r="O101" s="53">
        <f t="shared" si="35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41"/>
      <c r="F102" s="170">
        <v>994.4</v>
      </c>
      <c r="G102" s="144"/>
      <c r="H102" s="146"/>
      <c r="I102" s="145"/>
      <c r="J102" s="145"/>
      <c r="K102" s="148">
        <f>F102-816.5</f>
        <v>177.89999999999998</v>
      </c>
      <c r="L102" s="149">
        <f>F102/816.5</f>
        <v>1.217881200244948</v>
      </c>
      <c r="M102" s="40">
        <f>E102-листопад!E102</f>
        <v>0</v>
      </c>
      <c r="N102" s="40">
        <f>F102-листопад!F102</f>
        <v>67.5</v>
      </c>
      <c r="O102" s="53"/>
      <c r="P102" s="60"/>
      <c r="Q102" s="60">
        <f>N102-78.3</f>
        <v>-10.799999999999997</v>
      </c>
      <c r="R102" s="138">
        <f>N102/78.3</f>
        <v>0.8620689655172414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41"/>
      <c r="F103" s="171">
        <v>4.74</v>
      </c>
      <c r="G103" s="144"/>
      <c r="H103" s="146"/>
      <c r="I103" s="145"/>
      <c r="J103" s="145"/>
      <c r="K103" s="148"/>
      <c r="L103" s="149"/>
      <c r="M103" s="40">
        <f>E103-листопад!E103</f>
        <v>0</v>
      </c>
      <c r="N103" s="40">
        <f>F103-листопад!F103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f t="shared" si="31"/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 t="s">
        <v>311</v>
      </c>
      <c r="J104" s="56">
        <f>F105-D104</f>
        <v>-41.5</v>
      </c>
      <c r="K104" s="56">
        <f>F104-63.9</f>
        <v>-50.62</v>
      </c>
      <c r="L104" s="135">
        <f>F104/63.9</f>
        <v>0.20782472613458527</v>
      </c>
      <c r="M104" s="40">
        <f>E104-листопад!E104</f>
        <v>0</v>
      </c>
      <c r="N104" s="40">
        <f>F104-листопад!F104</f>
        <v>0</v>
      </c>
      <c r="O104" s="53">
        <f aca="true" t="shared" si="36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f t="shared" si="31"/>
        <v>45</v>
      </c>
      <c r="F105" s="169">
        <v>24</v>
      </c>
      <c r="G105" s="49">
        <f>F105-E105</f>
        <v>-21</v>
      </c>
      <c r="H105" s="40">
        <f>F105/E105*100</f>
        <v>53.333333333333336</v>
      </c>
      <c r="I105" s="56">
        <f aca="true" t="shared" si="37" ref="I105:I111">F105-D105</f>
        <v>-21</v>
      </c>
      <c r="J105" s="56">
        <f aca="true" t="shared" si="38" ref="J105:J110">F105/D105*100</f>
        <v>53.333333333333336</v>
      </c>
      <c r="K105" s="56">
        <f>F105-45.1</f>
        <v>-21.1</v>
      </c>
      <c r="L105" s="135">
        <f>F105/45.1</f>
        <v>0.532150776053215</v>
      </c>
      <c r="M105" s="40">
        <f>E105-листопад!E105</f>
        <v>14.8</v>
      </c>
      <c r="N105" s="40">
        <f>F105-листопад!F105</f>
        <v>0.14999999999999858</v>
      </c>
      <c r="O105" s="53">
        <f t="shared" si="36"/>
        <v>-14.650000000000002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f t="shared" si="31"/>
        <v>0</v>
      </c>
      <c r="F106" s="169">
        <v>0.37</v>
      </c>
      <c r="G106" s="49"/>
      <c r="H106" s="40"/>
      <c r="I106" s="56"/>
      <c r="J106" s="56"/>
      <c r="K106" s="56">
        <f>F106-2.6</f>
        <v>-2.23</v>
      </c>
      <c r="L106" s="135">
        <f>F106/2.6</f>
        <v>0.1423076923076923</v>
      </c>
      <c r="M106" s="40">
        <f>E106-листопад!E106</f>
        <v>0</v>
      </c>
      <c r="N106" s="40">
        <f>F106-листопад!F106</f>
        <v>0</v>
      </c>
      <c r="O106" s="53">
        <f t="shared" si="36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506879.6</v>
      </c>
      <c r="F107" s="22">
        <f>F8+F74+F105+F106</f>
        <v>472121.99</v>
      </c>
      <c r="G107" s="175">
        <f>F107-E107</f>
        <v>-34757.609999999986</v>
      </c>
      <c r="H107" s="51">
        <f>F107/E107*100</f>
        <v>93.14282721182703</v>
      </c>
      <c r="I107" s="36">
        <f t="shared" si="37"/>
        <v>-34757.609999999986</v>
      </c>
      <c r="J107" s="36">
        <f t="shared" si="38"/>
        <v>93.14282721182703</v>
      </c>
      <c r="K107" s="36">
        <f>F107-486380.4</f>
        <v>-14258.410000000033</v>
      </c>
      <c r="L107" s="136">
        <f>F107/486380.4</f>
        <v>0.9706846534111983</v>
      </c>
      <c r="M107" s="22">
        <f>M8+M74+M105+M106</f>
        <v>60314.370000000024</v>
      </c>
      <c r="N107" s="152">
        <f>N8+N74+N105+N106</f>
        <v>31478.309999999998</v>
      </c>
      <c r="O107" s="55">
        <f t="shared" si="36"/>
        <v>-28836.060000000027</v>
      </c>
      <c r="P107" s="36">
        <f>N107/M107*100</f>
        <v>52.19039840754365</v>
      </c>
      <c r="Q107" s="36">
        <f>N107-47430.3</f>
        <v>-15951.990000000005</v>
      </c>
      <c r="R107" s="136">
        <f>N107/47430.2</f>
        <v>0.6636765183364186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388213.2</v>
      </c>
      <c r="F108" s="71">
        <f>F10-F18+F96</f>
        <v>377580.08999999997</v>
      </c>
      <c r="G108" s="153">
        <f>G10-G18+G96</f>
        <v>-10633.110000000017</v>
      </c>
      <c r="H108" s="72">
        <f>F108/E108*100</f>
        <v>97.26101276308997</v>
      </c>
      <c r="I108" s="52">
        <f t="shared" si="37"/>
        <v>-10633.110000000044</v>
      </c>
      <c r="J108" s="52">
        <f t="shared" si="38"/>
        <v>97.26101276308997</v>
      </c>
      <c r="K108" s="52">
        <f>F108-373338.7</f>
        <v>4241.389999999956</v>
      </c>
      <c r="L108" s="137">
        <f>F108/373338.7</f>
        <v>1.0113607027613263</v>
      </c>
      <c r="M108" s="71">
        <f>M10-M18+M96</f>
        <v>35190.70000000001</v>
      </c>
      <c r="N108" s="153">
        <f>N10-N18+N96</f>
        <v>27407.26999999999</v>
      </c>
      <c r="O108" s="53">
        <f t="shared" si="36"/>
        <v>-7783.430000000022</v>
      </c>
      <c r="P108" s="52">
        <f>N108/M108*100</f>
        <v>77.88213931521675</v>
      </c>
      <c r="Q108" s="52">
        <f>N108-37899.5</f>
        <v>-10492.23000000001</v>
      </c>
      <c r="R108" s="137">
        <f>N108/37899.5</f>
        <v>0.7231565060225066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118666.39999999997</v>
      </c>
      <c r="F109" s="71">
        <f>F107-F108</f>
        <v>94541.90000000002</v>
      </c>
      <c r="G109" s="176">
        <f>F109-E109</f>
        <v>-24124.49999999994</v>
      </c>
      <c r="H109" s="72">
        <f>F109/E109*100</f>
        <v>79.67031948386405</v>
      </c>
      <c r="I109" s="52">
        <f t="shared" si="37"/>
        <v>-24124.49999999994</v>
      </c>
      <c r="J109" s="52">
        <f t="shared" si="38"/>
        <v>79.67031948386405</v>
      </c>
      <c r="K109" s="52">
        <f>F109-113041.7</f>
        <v>-18499.799999999974</v>
      </c>
      <c r="L109" s="137">
        <f>F109/113041.7</f>
        <v>0.8363453486633696</v>
      </c>
      <c r="M109" s="71">
        <f>M107-M108</f>
        <v>25123.670000000013</v>
      </c>
      <c r="N109" s="153">
        <f>N107-N108</f>
        <v>4071.040000000008</v>
      </c>
      <c r="O109" s="53">
        <f t="shared" si="36"/>
        <v>-21052.630000000005</v>
      </c>
      <c r="P109" s="52">
        <f>N109/M109*100</f>
        <v>16.20400204269522</v>
      </c>
      <c r="Q109" s="52">
        <f>N109-9530.7</f>
        <v>-5459.659999999993</v>
      </c>
      <c r="R109" s="137">
        <f>N109/9530.7</f>
        <v>0.42715015686151153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f>D110</f>
        <v>388213.2</v>
      </c>
      <c r="F110" s="71">
        <f>F108</f>
        <v>377580.08999999997</v>
      </c>
      <c r="G110" s="111">
        <f>F110-E110</f>
        <v>-10633.110000000044</v>
      </c>
      <c r="H110" s="72">
        <f>F110/E110*100</f>
        <v>97.26101276308997</v>
      </c>
      <c r="I110" s="81">
        <f t="shared" si="37"/>
        <v>-10633.110000000044</v>
      </c>
      <c r="J110" s="52">
        <f t="shared" si="38"/>
        <v>97.26101276308997</v>
      </c>
      <c r="K110" s="52"/>
      <c r="L110" s="137"/>
      <c r="M110" s="72">
        <f>E110-листопад!E110</f>
        <v>39530.600000000035</v>
      </c>
      <c r="N110" s="71">
        <f>N108</f>
        <v>27407.26999999999</v>
      </c>
      <c r="O110" s="63">
        <f t="shared" si="36"/>
        <v>-12123.330000000045</v>
      </c>
      <c r="P110" s="52">
        <f>N110/M110*100</f>
        <v>69.33178347912747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7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307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f>D114</f>
        <v>0</v>
      </c>
      <c r="F114" s="172">
        <v>0.55</v>
      </c>
      <c r="G114" s="49">
        <f aca="true" t="shared" si="39" ref="G114:G126">F114-E114</f>
        <v>0.55</v>
      </c>
      <c r="H114" s="40"/>
      <c r="I114" s="60">
        <f aca="true" t="shared" si="40" ref="I114:I125">F114-D114</f>
        <v>0.55</v>
      </c>
      <c r="J114" s="60"/>
      <c r="K114" s="60">
        <f>F114-24.2</f>
        <v>-23.65</v>
      </c>
      <c r="L114" s="138">
        <f>F114/24.2</f>
        <v>0.02272727272727273</v>
      </c>
      <c r="M114" s="40">
        <f>E114-листопад!E114</f>
        <v>0</v>
      </c>
      <c r="N114" s="40">
        <f>F114-листопад!F114</f>
        <v>0</v>
      </c>
      <c r="O114" s="53"/>
      <c r="P114" s="60"/>
      <c r="Q114" s="60">
        <f>N114-3.5</f>
        <v>-3.5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f>D115</f>
        <v>3671.5</v>
      </c>
      <c r="F115" s="174">
        <v>1602.58</v>
      </c>
      <c r="G115" s="49">
        <f t="shared" si="39"/>
        <v>-2068.92</v>
      </c>
      <c r="H115" s="40">
        <f aca="true" t="shared" si="41" ref="H115:H126">F115/E115*100</f>
        <v>43.649189704480456</v>
      </c>
      <c r="I115" s="60">
        <f t="shared" si="40"/>
        <v>-2068.92</v>
      </c>
      <c r="J115" s="60">
        <f aca="true" t="shared" si="42" ref="J115:J121">F115/D115*100</f>
        <v>43.649189704480456</v>
      </c>
      <c r="K115" s="60">
        <f>F115-3298.2</f>
        <v>-1695.62</v>
      </c>
      <c r="L115" s="138">
        <f>F115/3298.2</f>
        <v>0.48589533685040326</v>
      </c>
      <c r="M115" s="40">
        <f>E115-листопад!E115</f>
        <v>337.0999999999999</v>
      </c>
      <c r="N115" s="40">
        <f>F115-листопад!F115</f>
        <v>117.76999999999998</v>
      </c>
      <c r="O115" s="53">
        <f aca="true" t="shared" si="43" ref="O115:O126">N115-M115</f>
        <v>-219.32999999999993</v>
      </c>
      <c r="P115" s="60">
        <f>N115/M115*100</f>
        <v>34.936220706021956</v>
      </c>
      <c r="Q115" s="60">
        <f>N115-86.8</f>
        <v>30.969999999999985</v>
      </c>
      <c r="R115" s="138">
        <f>N115/86.8</f>
        <v>1.3567972350230413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f>D116</f>
        <v>268.1</v>
      </c>
      <c r="F116" s="172">
        <v>308.57</v>
      </c>
      <c r="G116" s="49">
        <f t="shared" si="39"/>
        <v>40.46999999999997</v>
      </c>
      <c r="H116" s="40">
        <f t="shared" si="41"/>
        <v>115.09511376352106</v>
      </c>
      <c r="I116" s="60">
        <f t="shared" si="40"/>
        <v>40.46999999999997</v>
      </c>
      <c r="J116" s="60">
        <f t="shared" si="42"/>
        <v>115.09511376352106</v>
      </c>
      <c r="K116" s="60">
        <f>F116-246.9</f>
        <v>61.66999999999999</v>
      </c>
      <c r="L116" s="138">
        <f>F116/246.9</f>
        <v>1.249777237748076</v>
      </c>
      <c r="M116" s="40">
        <f>E116-листопад!E116</f>
        <v>23.600000000000023</v>
      </c>
      <c r="N116" s="40">
        <f>F116-листопад!F116</f>
        <v>23.75999999999999</v>
      </c>
      <c r="O116" s="53">
        <f t="shared" si="43"/>
        <v>0.15999999999996817</v>
      </c>
      <c r="P116" s="60">
        <f>N116/M116*100</f>
        <v>100.67796610169478</v>
      </c>
      <c r="Q116" s="60">
        <f>N116-31.3</f>
        <v>-7.54000000000001</v>
      </c>
      <c r="R116" s="138">
        <f>N116/31.3</f>
        <v>0.7591054313099038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3939.6</v>
      </c>
      <c r="F117" s="173">
        <f>SUM(F114:F116)</f>
        <v>1911.6999999999998</v>
      </c>
      <c r="G117" s="62">
        <f t="shared" si="39"/>
        <v>-2027.9</v>
      </c>
      <c r="H117" s="72">
        <f t="shared" si="41"/>
        <v>48.52523098791755</v>
      </c>
      <c r="I117" s="61">
        <f t="shared" si="40"/>
        <v>-2027.9</v>
      </c>
      <c r="J117" s="61">
        <f t="shared" si="42"/>
        <v>48.52523098791755</v>
      </c>
      <c r="K117" s="61">
        <f>F117-3599.2</f>
        <v>-1687.5</v>
      </c>
      <c r="L117" s="139">
        <f>F117/3599.2</f>
        <v>0.53114581018004</v>
      </c>
      <c r="M117" s="62">
        <f>M115+M116+M114</f>
        <v>360.69999999999993</v>
      </c>
      <c r="N117" s="38">
        <f>SUM(N114:N116)</f>
        <v>141.52999999999997</v>
      </c>
      <c r="O117" s="61">
        <f t="shared" si="43"/>
        <v>-219.16999999999996</v>
      </c>
      <c r="P117" s="61">
        <f>N117/M117*100</f>
        <v>39.2375935680621</v>
      </c>
      <c r="Q117" s="61">
        <f>N117-121.6</f>
        <v>19.92999999999998</v>
      </c>
      <c r="R117" s="139">
        <f>N117/121.6</f>
        <v>1.1638980263157892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9"/>
        <v>0</v>
      </c>
      <c r="H118" s="40" t="e">
        <f t="shared" si="41"/>
        <v>#DIV/0!</v>
      </c>
      <c r="I118" s="60">
        <f t="shared" si="40"/>
        <v>0</v>
      </c>
      <c r="J118" s="60" t="e">
        <f t="shared" si="42"/>
        <v>#DIV/0!</v>
      </c>
      <c r="K118" s="60"/>
      <c r="L118" s="138"/>
      <c r="M118" s="41">
        <v>0</v>
      </c>
      <c r="N118" s="41">
        <f>F118</f>
        <v>0</v>
      </c>
      <c r="O118" s="53">
        <f t="shared" si="43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455</v>
      </c>
      <c r="E119" s="33">
        <f>D119</f>
        <v>455</v>
      </c>
      <c r="F119" s="174">
        <v>463.74</v>
      </c>
      <c r="G119" s="49">
        <f t="shared" si="39"/>
        <v>8.740000000000009</v>
      </c>
      <c r="H119" s="40">
        <f t="shared" si="41"/>
        <v>101.92087912087912</v>
      </c>
      <c r="I119" s="60">
        <f t="shared" si="40"/>
        <v>8.740000000000009</v>
      </c>
      <c r="J119" s="60">
        <f t="shared" si="42"/>
        <v>101.92087912087912</v>
      </c>
      <c r="K119" s="60">
        <f>F119-240.3</f>
        <v>223.44</v>
      </c>
      <c r="L119" s="138">
        <f>F119/240.3</f>
        <v>1.9298377028714107</v>
      </c>
      <c r="M119" s="40">
        <f>E119-листопад!E119</f>
        <v>194.5</v>
      </c>
      <c r="N119" s="40">
        <f>F119-листопад!F119</f>
        <v>9.069999999999993</v>
      </c>
      <c r="O119" s="53">
        <f>N119-M119</f>
        <v>-185.43</v>
      </c>
      <c r="P119" s="60">
        <f>N119/M119*100</f>
        <v>4.663239074550125</v>
      </c>
      <c r="Q119" s="60">
        <f>N119-2.6</f>
        <v>6.4699999999999935</v>
      </c>
      <c r="R119" s="138">
        <f>N119/2.6</f>
        <v>3.488461538461536</v>
      </c>
    </row>
    <row r="120" spans="2:18" s="48" customFormat="1" ht="22.5" customHeight="1">
      <c r="B120" s="15" t="s">
        <v>139</v>
      </c>
      <c r="C120" s="108">
        <v>18050000</v>
      </c>
      <c r="D120" s="33">
        <v>79309</v>
      </c>
      <c r="E120" s="33">
        <f>D120</f>
        <v>79309</v>
      </c>
      <c r="F120" s="174">
        <v>82471.04</v>
      </c>
      <c r="G120" s="49">
        <f t="shared" si="39"/>
        <v>3162.0399999999936</v>
      </c>
      <c r="H120" s="40">
        <f t="shared" si="41"/>
        <v>103.98698760544201</v>
      </c>
      <c r="I120" s="53">
        <f t="shared" si="40"/>
        <v>3162.0399999999936</v>
      </c>
      <c r="J120" s="60">
        <f t="shared" si="42"/>
        <v>103.98698760544201</v>
      </c>
      <c r="K120" s="60">
        <f>F120-69925</f>
        <v>12546.039999999994</v>
      </c>
      <c r="L120" s="138">
        <f>F120/69925</f>
        <v>1.1794213800500535</v>
      </c>
      <c r="M120" s="40">
        <f>E120-листопад!E120</f>
        <v>10596.399999999994</v>
      </c>
      <c r="N120" s="40">
        <f>F120-листопад!F120</f>
        <v>3153.2399999999907</v>
      </c>
      <c r="O120" s="53">
        <f t="shared" si="43"/>
        <v>-7443.1600000000035</v>
      </c>
      <c r="P120" s="60">
        <f aca="true" t="shared" si="44" ref="P120:P125">N120/M120*100</f>
        <v>29.757653542712546</v>
      </c>
      <c r="Q120" s="60">
        <f>N120-3130.1</f>
        <v>23.139999999990778</v>
      </c>
      <c r="R120" s="138">
        <f>N120/3130.1</f>
        <v>1.007392735056385</v>
      </c>
    </row>
    <row r="121" spans="2:18" ht="31.5">
      <c r="B121" s="30" t="s">
        <v>111</v>
      </c>
      <c r="C121" s="106">
        <v>31030000</v>
      </c>
      <c r="D121" s="33">
        <v>2100</v>
      </c>
      <c r="E121" s="33">
        <f>D121</f>
        <v>2100</v>
      </c>
      <c r="F121" s="174">
        <v>1921.65</v>
      </c>
      <c r="G121" s="49">
        <f t="shared" si="39"/>
        <v>-178.3499999999999</v>
      </c>
      <c r="H121" s="40">
        <f t="shared" si="41"/>
        <v>91.50714285714287</v>
      </c>
      <c r="I121" s="60">
        <f t="shared" si="40"/>
        <v>-178.3499999999999</v>
      </c>
      <c r="J121" s="60">
        <f t="shared" si="42"/>
        <v>91.50714285714287</v>
      </c>
      <c r="K121" s="60">
        <f>F121-1790.1</f>
        <v>131.55000000000018</v>
      </c>
      <c r="L121" s="138">
        <f>F121/1790.1</f>
        <v>1.0734875146639853</v>
      </c>
      <c r="M121" s="40">
        <f>E121-листопад!E121</f>
        <v>-1261.19</v>
      </c>
      <c r="N121" s="40">
        <f>F121-листопад!F121</f>
        <v>0.040000000000190994</v>
      </c>
      <c r="O121" s="53">
        <f t="shared" si="43"/>
        <v>1261.2300000000002</v>
      </c>
      <c r="P121" s="60">
        <f t="shared" si="44"/>
        <v>-0.0031716077672825655</v>
      </c>
      <c r="Q121" s="60">
        <f>N121-0.1</f>
        <v>-0.05999999999980901</v>
      </c>
      <c r="R121" s="138">
        <f>N121/0.1</f>
        <v>0.40000000000190994</v>
      </c>
    </row>
    <row r="122" spans="2:18" ht="27" customHeight="1">
      <c r="B122" s="30" t="s">
        <v>112</v>
      </c>
      <c r="C122" s="106">
        <v>33010000</v>
      </c>
      <c r="D122" s="33">
        <v>3085.17</v>
      </c>
      <c r="E122" s="33">
        <f>D122</f>
        <v>3085.17</v>
      </c>
      <c r="F122" s="174">
        <v>3861.17</v>
      </c>
      <c r="G122" s="49">
        <f t="shared" si="39"/>
        <v>776</v>
      </c>
      <c r="H122" s="40">
        <f t="shared" si="41"/>
        <v>125.15258478463099</v>
      </c>
      <c r="I122" s="60">
        <f t="shared" si="40"/>
        <v>776</v>
      </c>
      <c r="J122" s="60">
        <f>F122/D122*100</f>
        <v>125.15258478463099</v>
      </c>
      <c r="K122" s="60">
        <f>F122-29972.9</f>
        <v>-26111.730000000003</v>
      </c>
      <c r="L122" s="138">
        <f>F122/29972.9</f>
        <v>0.1288220359057682</v>
      </c>
      <c r="M122" s="40">
        <f>E122-листопад!E122</f>
        <v>-17224.559999999998</v>
      </c>
      <c r="N122" s="40">
        <f>F122-листопад!F122</f>
        <v>32.2800000000002</v>
      </c>
      <c r="O122" s="53">
        <f t="shared" si="43"/>
        <v>17256.839999999997</v>
      </c>
      <c r="P122" s="60">
        <f t="shared" si="44"/>
        <v>-0.18740681910016976</v>
      </c>
      <c r="Q122" s="60">
        <f>N122-6480.9</f>
        <v>-6448.619999999999</v>
      </c>
      <c r="R122" s="138">
        <f>N122/6480.9</f>
        <v>0.004980789705133578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f>D123</f>
        <v>2000</v>
      </c>
      <c r="F123" s="174">
        <v>2026.21</v>
      </c>
      <c r="G123" s="49">
        <f t="shared" si="39"/>
        <v>26.210000000000036</v>
      </c>
      <c r="H123" s="40">
        <f t="shared" si="41"/>
        <v>101.31049999999999</v>
      </c>
      <c r="I123" s="60">
        <f t="shared" si="40"/>
        <v>26.210000000000036</v>
      </c>
      <c r="J123" s="60">
        <f>F123/D123*100</f>
        <v>101.31049999999999</v>
      </c>
      <c r="K123" s="60">
        <f>F123-2200.3</f>
        <v>-174.09000000000015</v>
      </c>
      <c r="L123" s="138">
        <f>F123/2200.3</f>
        <v>0.9208789710494023</v>
      </c>
      <c r="M123" s="40">
        <f>E123-листопад!E123</f>
        <v>189.5999999999999</v>
      </c>
      <c r="N123" s="40">
        <f>F123-листопад!F123</f>
        <v>13.660000000000082</v>
      </c>
      <c r="O123" s="53">
        <f t="shared" si="43"/>
        <v>-175.93999999999983</v>
      </c>
      <c r="P123" s="60">
        <f t="shared" si="44"/>
        <v>7.204641350211018</v>
      </c>
      <c r="Q123" s="60">
        <f>N123-468.3</f>
        <v>-454.63999999999993</v>
      </c>
      <c r="R123" s="138">
        <f>N123/468.3</f>
        <v>0.02916933589579347</v>
      </c>
    </row>
    <row r="124" spans="2:18" ht="34.5">
      <c r="B124" s="37" t="s">
        <v>144</v>
      </c>
      <c r="C124" s="95"/>
      <c r="D124" s="38">
        <f>D120+D121+D122+D123+D119</f>
        <v>86949.17</v>
      </c>
      <c r="E124" s="38">
        <f>E120+E121+E122+E123+E119</f>
        <v>86949.17</v>
      </c>
      <c r="F124" s="173">
        <f>F120+F121+F122+F123+F119</f>
        <v>90743.81</v>
      </c>
      <c r="G124" s="62">
        <f t="shared" si="39"/>
        <v>3794.6399999999994</v>
      </c>
      <c r="H124" s="72">
        <f t="shared" si="41"/>
        <v>104.36420497170933</v>
      </c>
      <c r="I124" s="61">
        <f t="shared" si="40"/>
        <v>3794.6399999999994</v>
      </c>
      <c r="J124" s="61">
        <f>F124/D124*100</f>
        <v>104.36420497170933</v>
      </c>
      <c r="K124" s="61">
        <f>F124-104128.6</f>
        <v>-13384.790000000008</v>
      </c>
      <c r="L124" s="139">
        <f>F124/104128.6</f>
        <v>0.8714590419923056</v>
      </c>
      <c r="M124" s="62">
        <f>M120+M121+M122+M123+M119</f>
        <v>-7505.250000000004</v>
      </c>
      <c r="N124" s="62">
        <f>N120+N121+N122+N123+N119</f>
        <v>3208.2899999999913</v>
      </c>
      <c r="O124" s="61">
        <f t="shared" si="43"/>
        <v>10713.539999999995</v>
      </c>
      <c r="P124" s="61">
        <f t="shared" si="44"/>
        <v>-42.747276906165546</v>
      </c>
      <c r="Q124" s="61">
        <f>N124-10082.1</f>
        <v>-6873.810000000009</v>
      </c>
      <c r="R124" s="139">
        <f>N124/1082.1</f>
        <v>2.9648738563903443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f>D125</f>
        <v>43.5</v>
      </c>
      <c r="F125" s="174">
        <v>35.22</v>
      </c>
      <c r="G125" s="49">
        <f t="shared" si="39"/>
        <v>-8.280000000000001</v>
      </c>
      <c r="H125" s="40">
        <f t="shared" si="41"/>
        <v>80.9655172413793</v>
      </c>
      <c r="I125" s="60">
        <f t="shared" si="40"/>
        <v>-8.280000000000001</v>
      </c>
      <c r="J125" s="60">
        <f>F125/D125*100</f>
        <v>80.9655172413793</v>
      </c>
      <c r="K125" s="60">
        <f>F125-114.2</f>
        <v>-78.98</v>
      </c>
      <c r="L125" s="138">
        <f>F125/114.2</f>
        <v>0.3084063047285464</v>
      </c>
      <c r="M125" s="40">
        <f>E125-листопад!E125</f>
        <v>8.340000000000003</v>
      </c>
      <c r="N125" s="40">
        <f>F125-листопад!F125</f>
        <v>0.21000000000000085</v>
      </c>
      <c r="O125" s="53">
        <f t="shared" si="43"/>
        <v>-8.130000000000003</v>
      </c>
      <c r="P125" s="60">
        <f t="shared" si="44"/>
        <v>2.5179856115108006</v>
      </c>
      <c r="Q125" s="60">
        <f>N125-0</f>
        <v>0.21000000000000085</v>
      </c>
      <c r="R125" s="138"/>
    </row>
    <row r="126" spans="2:18" ht="15.75" hidden="1">
      <c r="B126" s="42"/>
      <c r="C126" s="109">
        <v>24062100</v>
      </c>
      <c r="D126" s="33">
        <v>0</v>
      </c>
      <c r="E126" s="33">
        <f>D126</f>
        <v>0</v>
      </c>
      <c r="F126" s="174">
        <v>0</v>
      </c>
      <c r="G126" s="49">
        <f t="shared" si="39"/>
        <v>0</v>
      </c>
      <c r="H126" s="40" t="e">
        <f t="shared" si="41"/>
        <v>#DIV/0!</v>
      </c>
      <c r="I126" s="63"/>
      <c r="J126" s="63"/>
      <c r="K126" s="63"/>
      <c r="L126" s="138">
        <f>F126</f>
        <v>0</v>
      </c>
      <c r="M126" s="40">
        <f>E126-листопад!E126</f>
        <v>0</v>
      </c>
      <c r="N126" s="40">
        <f>F126-листопад!F126</f>
        <v>0</v>
      </c>
      <c r="O126" s="53">
        <f t="shared" si="43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f>D127</f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E127-листопад!E127</f>
        <v>0</v>
      </c>
      <c r="N127" s="40">
        <f>F127-листопад!F127</f>
        <v>0</v>
      </c>
      <c r="O127" s="53"/>
      <c r="P127" s="63"/>
      <c r="Q127" s="53">
        <f>N127-0</f>
        <v>0</v>
      </c>
      <c r="R127" s="162"/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f>D128</f>
        <v>8700</v>
      </c>
      <c r="F128" s="174">
        <v>8721.7</v>
      </c>
      <c r="G128" s="49">
        <f aca="true" t="shared" si="45" ref="G128:G135">F128-E128</f>
        <v>21.700000000000728</v>
      </c>
      <c r="H128" s="40">
        <f>F128/E128*100</f>
        <v>100.24942528735632</v>
      </c>
      <c r="I128" s="60">
        <f aca="true" t="shared" si="46" ref="I128:I135">F128-D128</f>
        <v>21.700000000000728</v>
      </c>
      <c r="J128" s="60">
        <f>F128/D128*100</f>
        <v>100.24942528735632</v>
      </c>
      <c r="K128" s="60">
        <f>F128-10836.2</f>
        <v>-2114.5</v>
      </c>
      <c r="L128" s="138">
        <f>F128/10836.2</f>
        <v>0.8048670198039903</v>
      </c>
      <c r="M128" s="40">
        <f>E128-листопад!E128</f>
        <v>1</v>
      </c>
      <c r="N128" s="40">
        <f>F128-листопад!F128</f>
        <v>362.9300000000003</v>
      </c>
      <c r="O128" s="53">
        <f aca="true" t="shared" si="47" ref="O128:O135">N128-M128</f>
        <v>361.9300000000003</v>
      </c>
      <c r="P128" s="60">
        <f>N128/M128*100</f>
        <v>36293.00000000003</v>
      </c>
      <c r="Q128" s="60">
        <f>N128-9.9</f>
        <v>353.0300000000003</v>
      </c>
      <c r="R128" s="162"/>
    </row>
    <row r="129" spans="2:18" ht="31.5">
      <c r="B129" s="30" t="s">
        <v>140</v>
      </c>
      <c r="C129" s="106">
        <v>19050000</v>
      </c>
      <c r="D129" s="33">
        <v>0</v>
      </c>
      <c r="E129" s="33">
        <f>D129</f>
        <v>0</v>
      </c>
      <c r="F129" s="174">
        <v>1.47</v>
      </c>
      <c r="G129" s="49">
        <f t="shared" si="45"/>
        <v>1.47</v>
      </c>
      <c r="H129" s="40"/>
      <c r="I129" s="60">
        <f t="shared" si="46"/>
        <v>1.47</v>
      </c>
      <c r="J129" s="60"/>
      <c r="K129" s="60">
        <f>F129-0.6</f>
        <v>0.87</v>
      </c>
      <c r="L129" s="138">
        <f>F129/0.6</f>
        <v>2.45</v>
      </c>
      <c r="M129" s="40">
        <f>E129-листопад!E129</f>
        <v>0</v>
      </c>
      <c r="N129" s="40">
        <f>F129-листопад!F129</f>
        <v>0</v>
      </c>
      <c r="O129" s="53">
        <f t="shared" si="47"/>
        <v>0</v>
      </c>
      <c r="P129" s="60"/>
      <c r="Q129" s="60">
        <f>N129-(-0.1)</f>
        <v>0.1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8750.7</v>
      </c>
      <c r="F130" s="173">
        <f>F128+F125+F129+F127</f>
        <v>8777.869999999999</v>
      </c>
      <c r="G130" s="62">
        <f t="shared" si="45"/>
        <v>27.169999999998254</v>
      </c>
      <c r="H130" s="72">
        <f>F130/E130*100</f>
        <v>100.31048944655853</v>
      </c>
      <c r="I130" s="61">
        <f t="shared" si="46"/>
        <v>27.169999999998254</v>
      </c>
      <c r="J130" s="61">
        <f>F130/D130*100</f>
        <v>100.31048944655853</v>
      </c>
      <c r="K130" s="61">
        <f>F130-10968.9</f>
        <v>-2191.0300000000007</v>
      </c>
      <c r="L130" s="139">
        <f>G130/10968.9</f>
        <v>0.002477003163489343</v>
      </c>
      <c r="M130" s="62">
        <f>M125+M128+M129+M127</f>
        <v>9.340000000000003</v>
      </c>
      <c r="N130" s="62">
        <f>N125+N128+N129+N127</f>
        <v>363.14000000000027</v>
      </c>
      <c r="O130" s="61">
        <f t="shared" si="47"/>
        <v>353.8000000000003</v>
      </c>
      <c r="P130" s="61">
        <f>N130/M130*100</f>
        <v>3888.0085653104943</v>
      </c>
      <c r="Q130" s="61">
        <f>N130-9.7</f>
        <v>353.4400000000003</v>
      </c>
      <c r="R130" s="137"/>
    </row>
    <row r="131" spans="2:18" ht="31.5">
      <c r="B131" s="14" t="s">
        <v>125</v>
      </c>
      <c r="C131" s="66">
        <v>24110900</v>
      </c>
      <c r="D131" s="33">
        <v>30</v>
      </c>
      <c r="E131" s="33">
        <f>D131</f>
        <v>30</v>
      </c>
      <c r="F131" s="174">
        <v>34.48</v>
      </c>
      <c r="G131" s="49">
        <f>F131-E131</f>
        <v>4.479999999999997</v>
      </c>
      <c r="H131" s="40">
        <f>F131/E131*100</f>
        <v>114.93333333333334</v>
      </c>
      <c r="I131" s="60">
        <f>F131-D131</f>
        <v>4.479999999999997</v>
      </c>
      <c r="J131" s="60">
        <f>F131/D131*100</f>
        <v>114.93333333333334</v>
      </c>
      <c r="K131" s="60">
        <f>F131-38.4</f>
        <v>-3.9200000000000017</v>
      </c>
      <c r="L131" s="138">
        <f>F131/38.4</f>
        <v>0.8979166666666666</v>
      </c>
      <c r="M131" s="40">
        <f>E131-листопад!E131</f>
        <v>5.75</v>
      </c>
      <c r="N131" s="40">
        <f>F131-листопад!F131</f>
        <v>0.4299999999999997</v>
      </c>
      <c r="O131" s="53">
        <f>N131-M131</f>
        <v>-5.32</v>
      </c>
      <c r="P131" s="60">
        <f>N131/M131*100</f>
        <v>7.4782608695652115</v>
      </c>
      <c r="Q131" s="60">
        <f>N131-10.2</f>
        <v>-9.77</v>
      </c>
      <c r="R131" s="138">
        <f>N131/10.2</f>
        <v>0.042156862745098014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f>D132</f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E132-листопад!E132</f>
        <v>0</v>
      </c>
      <c r="N132" s="40">
        <f>F132-листопад!F132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f>D133</f>
        <v>0</v>
      </c>
      <c r="F133" s="174">
        <v>0</v>
      </c>
      <c r="G133" s="49">
        <f t="shared" si="45"/>
        <v>0</v>
      </c>
      <c r="H133" s="40" t="e">
        <f>F133/E133*100</f>
        <v>#DIV/0!</v>
      </c>
      <c r="I133" s="60">
        <f t="shared" si="46"/>
        <v>0</v>
      </c>
      <c r="J133" s="60" t="e">
        <f>F133/D133*100</f>
        <v>#DIV/0!</v>
      </c>
      <c r="K133" s="60"/>
      <c r="L133" s="138"/>
      <c r="M133" s="40">
        <f>E133-листопад!E133</f>
        <v>0</v>
      </c>
      <c r="N133" s="40">
        <f>F133-листопад!F133</f>
        <v>0</v>
      </c>
      <c r="O133" s="53">
        <f t="shared" si="47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99669.47</v>
      </c>
      <c r="E134" s="31">
        <f>E117+E131+E124+E130+E133+E132</f>
        <v>99669.47</v>
      </c>
      <c r="F134" s="31">
        <f>F117+F131+F124+F130+F133+F132</f>
        <v>101467.85999999999</v>
      </c>
      <c r="G134" s="50">
        <f t="shared" si="45"/>
        <v>1798.3899999999849</v>
      </c>
      <c r="H134" s="51">
        <f>F134/E134*100</f>
        <v>101.80435393104827</v>
      </c>
      <c r="I134" s="36">
        <f t="shared" si="46"/>
        <v>1798.3899999999849</v>
      </c>
      <c r="J134" s="36">
        <f>F134/D134*100</f>
        <v>101.80435393104827</v>
      </c>
      <c r="K134" s="36">
        <f>F134-118735.2</f>
        <v>-17267.34000000001</v>
      </c>
      <c r="L134" s="136">
        <f>F134/118735.2</f>
        <v>0.8545726962181391</v>
      </c>
      <c r="M134" s="31">
        <f>M117+M131+M124+M130+M133+M132</f>
        <v>-7129.460000000004</v>
      </c>
      <c r="N134" s="31">
        <f>N117+N131+N124+N130+N133+N132</f>
        <v>3713.3899999999917</v>
      </c>
      <c r="O134" s="36">
        <f t="shared" si="47"/>
        <v>10842.849999999995</v>
      </c>
      <c r="P134" s="36">
        <f>N134/M134*100</f>
        <v>-52.08515090904486</v>
      </c>
      <c r="Q134" s="36">
        <f>N134-10223.7</f>
        <v>-6510.310000000009</v>
      </c>
      <c r="R134" s="136">
        <f>N134/10223.7</f>
        <v>0.3632139049463493</v>
      </c>
    </row>
    <row r="135" spans="2:18" ht="30.75" customHeight="1">
      <c r="B135" s="28" t="s">
        <v>115</v>
      </c>
      <c r="C135" s="96"/>
      <c r="D135" s="31">
        <f>D107+D134</f>
        <v>606549.07</v>
      </c>
      <c r="E135" s="31">
        <f>E107+E134</f>
        <v>606549.07</v>
      </c>
      <c r="F135" s="31">
        <f>F107+F134</f>
        <v>573589.85</v>
      </c>
      <c r="G135" s="50">
        <f t="shared" si="45"/>
        <v>-32959.21999999997</v>
      </c>
      <c r="H135" s="51">
        <f>F135/E135*100</f>
        <v>94.56610822929792</v>
      </c>
      <c r="I135" s="36">
        <f t="shared" si="46"/>
        <v>-32959.21999999997</v>
      </c>
      <c r="J135" s="36">
        <f>F135/D135*100</f>
        <v>94.56610822929792</v>
      </c>
      <c r="K135" s="36">
        <f>F135-605115.5</f>
        <v>-31525.650000000023</v>
      </c>
      <c r="L135" s="136">
        <f>F135/605115.5</f>
        <v>0.947901433693237</v>
      </c>
      <c r="M135" s="22">
        <f>M107+M134</f>
        <v>53184.91000000002</v>
      </c>
      <c r="N135" s="22">
        <f>N107+N134</f>
        <v>35191.69999999999</v>
      </c>
      <c r="O135" s="36">
        <f t="shared" si="47"/>
        <v>-17993.21000000003</v>
      </c>
      <c r="P135" s="36">
        <f>N135/M135*100</f>
        <v>66.16858052406214</v>
      </c>
      <c r="Q135" s="36">
        <f>N135-57653.9</f>
        <v>-22462.20000000001</v>
      </c>
      <c r="R135" s="136">
        <f>N135/57653.9</f>
        <v>0.6103958275155712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6</v>
      </c>
      <c r="D137" s="4" t="s">
        <v>118</v>
      </c>
    </row>
    <row r="138" spans="2:17" ht="31.5">
      <c r="B138" s="78" t="s">
        <v>154</v>
      </c>
      <c r="C138" s="39">
        <f>IF(O107&lt;0,ABS(O107/C137),0)</f>
        <v>4806.010000000005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41996</v>
      </c>
      <c r="D139" s="39">
        <v>1123.6</v>
      </c>
      <c r="N139" s="183"/>
      <c r="O139" s="183"/>
    </row>
    <row r="140" spans="3:15" ht="15.75">
      <c r="C140" s="120">
        <v>41995</v>
      </c>
      <c r="D140" s="39">
        <v>3424.4</v>
      </c>
      <c r="F140" s="4" t="s">
        <v>166</v>
      </c>
      <c r="G140" s="184" t="s">
        <v>151</v>
      </c>
      <c r="H140" s="184"/>
      <c r="I140" s="115">
        <v>8909.73221</v>
      </c>
      <c r="J140" s="181" t="s">
        <v>161</v>
      </c>
      <c r="K140" s="181"/>
      <c r="L140" s="181"/>
      <c r="M140" s="181"/>
      <c r="N140" s="183"/>
      <c r="O140" s="183"/>
    </row>
    <row r="141" spans="3:15" ht="15.75">
      <c r="C141" s="120">
        <v>41992</v>
      </c>
      <c r="D141" s="39">
        <v>3252.5</v>
      </c>
      <c r="G141" s="214" t="s">
        <v>155</v>
      </c>
      <c r="H141" s="214"/>
      <c r="I141" s="112">
        <v>0</v>
      </c>
      <c r="J141" s="215" t="s">
        <v>162</v>
      </c>
      <c r="K141" s="215"/>
      <c r="L141" s="215"/>
      <c r="M141" s="215"/>
      <c r="N141" s="183"/>
      <c r="O141" s="183"/>
    </row>
    <row r="142" spans="7:13" ht="15.75" customHeight="1">
      <c r="G142" s="184" t="s">
        <v>148</v>
      </c>
      <c r="H142" s="184"/>
      <c r="I142" s="112">
        <v>0</v>
      </c>
      <c r="J142" s="181" t="s">
        <v>163</v>
      </c>
      <c r="K142" s="181"/>
      <c r="L142" s="181"/>
      <c r="M142" s="181"/>
    </row>
    <row r="143" spans="2:13" ht="18.75" customHeight="1">
      <c r="B143" s="216" t="s">
        <v>160</v>
      </c>
      <c r="C143" s="217"/>
      <c r="D143" s="117">
        <v>110505.35384000001</v>
      </c>
      <c r="E143" s="80"/>
      <c r="F143" s="100" t="s">
        <v>147</v>
      </c>
      <c r="G143" s="184" t="s">
        <v>149</v>
      </c>
      <c r="H143" s="184"/>
      <c r="I143" s="116">
        <v>101595.62163</v>
      </c>
      <c r="J143" s="181" t="s">
        <v>164</v>
      </c>
      <c r="K143" s="181"/>
      <c r="L143" s="181"/>
      <c r="M143" s="181"/>
    </row>
    <row r="144" spans="7:12" ht="9.75" customHeight="1">
      <c r="G144" s="218"/>
      <c r="H144" s="218"/>
      <c r="I144" s="98"/>
      <c r="J144" s="99"/>
      <c r="K144" s="99"/>
      <c r="L144" s="99"/>
    </row>
    <row r="145" spans="2:12" ht="22.5" customHeight="1">
      <c r="B145" s="219" t="s">
        <v>308</v>
      </c>
      <c r="C145" s="220"/>
      <c r="D145" s="119">
        <v>0</v>
      </c>
      <c r="E145" s="77"/>
      <c r="G145" s="218"/>
      <c r="H145" s="218"/>
      <c r="I145" s="98"/>
      <c r="J145" s="99"/>
      <c r="K145" s="99"/>
      <c r="L145" s="99"/>
    </row>
    <row r="146" spans="4:15" ht="15.75">
      <c r="D146" s="114"/>
      <c r="N146" s="218"/>
      <c r="O146" s="218"/>
    </row>
    <row r="147" spans="4:15" ht="15.75">
      <c r="D147" s="113"/>
      <c r="I147" s="39"/>
      <c r="N147" s="221"/>
      <c r="O147" s="221"/>
    </row>
    <row r="148" spans="14:15" ht="15.75">
      <c r="N148" s="218"/>
      <c r="O148" s="218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3" right="0.2" top="0.18" bottom="0.38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5" t="s">
        <v>212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26"/>
      <c r="R1" s="127"/>
    </row>
    <row r="2" spans="2:18" s="1" customFormat="1" ht="15.75" customHeight="1">
      <c r="B2" s="186"/>
      <c r="C2" s="186"/>
      <c r="D2" s="18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7"/>
      <c r="B3" s="189"/>
      <c r="C3" s="190" t="s">
        <v>0</v>
      </c>
      <c r="D3" s="191" t="s">
        <v>208</v>
      </c>
      <c r="E3" s="191"/>
      <c r="F3" s="192" t="s">
        <v>107</v>
      </c>
      <c r="G3" s="193"/>
      <c r="H3" s="193"/>
      <c r="I3" s="193"/>
      <c r="J3" s="193"/>
      <c r="K3" s="193"/>
      <c r="L3" s="194"/>
      <c r="M3" s="195" t="s">
        <v>210</v>
      </c>
      <c r="N3" s="197" t="s">
        <v>198</v>
      </c>
      <c r="O3" s="197"/>
      <c r="P3" s="197"/>
      <c r="Q3" s="197"/>
      <c r="R3" s="197"/>
    </row>
    <row r="4" spans="1:18" ht="22.5" customHeight="1">
      <c r="A4" s="187"/>
      <c r="B4" s="189"/>
      <c r="C4" s="190"/>
      <c r="D4" s="191"/>
      <c r="E4" s="191"/>
      <c r="F4" s="198" t="s">
        <v>116</v>
      </c>
      <c r="G4" s="200" t="s">
        <v>207</v>
      </c>
      <c r="H4" s="202" t="s">
        <v>195</v>
      </c>
      <c r="I4" s="204" t="s">
        <v>188</v>
      </c>
      <c r="J4" s="206" t="s">
        <v>189</v>
      </c>
      <c r="K4" s="208" t="s">
        <v>196</v>
      </c>
      <c r="L4" s="209"/>
      <c r="M4" s="196"/>
      <c r="N4" s="212" t="s">
        <v>213</v>
      </c>
      <c r="O4" s="204" t="s">
        <v>136</v>
      </c>
      <c r="P4" s="204" t="s">
        <v>135</v>
      </c>
      <c r="Q4" s="208" t="s">
        <v>197</v>
      </c>
      <c r="R4" s="209"/>
    </row>
    <row r="5" spans="1:18" ht="82.5" customHeight="1">
      <c r="A5" s="188"/>
      <c r="B5" s="189"/>
      <c r="C5" s="190"/>
      <c r="D5" s="150" t="s">
        <v>209</v>
      </c>
      <c r="E5" s="158" t="s">
        <v>214</v>
      </c>
      <c r="F5" s="199"/>
      <c r="G5" s="201"/>
      <c r="H5" s="203"/>
      <c r="I5" s="205"/>
      <c r="J5" s="207"/>
      <c r="K5" s="210"/>
      <c r="L5" s="211"/>
      <c r="M5" s="151" t="s">
        <v>211</v>
      </c>
      <c r="N5" s="213"/>
      <c r="O5" s="205"/>
      <c r="P5" s="205"/>
      <c r="Q5" s="210"/>
      <c r="R5" s="21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83"/>
      <c r="O138" s="183"/>
    </row>
    <row r="139" spans="3:15" ht="15.75">
      <c r="C139" s="120">
        <v>41726</v>
      </c>
      <c r="D139" s="39">
        <v>4682.6</v>
      </c>
      <c r="F139" s="4" t="s">
        <v>166</v>
      </c>
      <c r="G139" s="184" t="s">
        <v>151</v>
      </c>
      <c r="H139" s="184"/>
      <c r="I139" s="115">
        <v>13825.22196</v>
      </c>
      <c r="J139" s="181" t="s">
        <v>161</v>
      </c>
      <c r="K139" s="181"/>
      <c r="L139" s="181"/>
      <c r="M139" s="181"/>
      <c r="N139" s="183"/>
      <c r="O139" s="183"/>
    </row>
    <row r="140" spans="3:15" ht="15.75">
      <c r="C140" s="120">
        <v>41725</v>
      </c>
      <c r="D140" s="39">
        <v>3360.7</v>
      </c>
      <c r="G140" s="214" t="s">
        <v>155</v>
      </c>
      <c r="H140" s="214"/>
      <c r="I140" s="112">
        <v>0</v>
      </c>
      <c r="J140" s="215" t="s">
        <v>162</v>
      </c>
      <c r="K140" s="215"/>
      <c r="L140" s="215"/>
      <c r="M140" s="215"/>
      <c r="N140" s="183"/>
      <c r="O140" s="183"/>
    </row>
    <row r="141" spans="7:13" ht="15.75" customHeight="1">
      <c r="G141" s="184" t="s">
        <v>148</v>
      </c>
      <c r="H141" s="184"/>
      <c r="I141" s="112">
        <v>0</v>
      </c>
      <c r="J141" s="181" t="s">
        <v>163</v>
      </c>
      <c r="K141" s="181"/>
      <c r="L141" s="181"/>
      <c r="M141" s="181"/>
    </row>
    <row r="142" spans="2:13" ht="18.75" customHeight="1">
      <c r="B142" s="216" t="s">
        <v>160</v>
      </c>
      <c r="C142" s="217"/>
      <c r="D142" s="117">
        <v>114985.02570999999</v>
      </c>
      <c r="E142" s="80"/>
      <c r="F142" s="100" t="s">
        <v>147</v>
      </c>
      <c r="G142" s="184" t="s">
        <v>149</v>
      </c>
      <c r="H142" s="184"/>
      <c r="I142" s="116">
        <v>101159.80375</v>
      </c>
      <c r="J142" s="181" t="s">
        <v>164</v>
      </c>
      <c r="K142" s="181"/>
      <c r="L142" s="181"/>
      <c r="M142" s="181"/>
    </row>
    <row r="143" spans="7:12" ht="9.75" customHeight="1">
      <c r="G143" s="218"/>
      <c r="H143" s="218"/>
      <c r="I143" s="98"/>
      <c r="J143" s="99"/>
      <c r="K143" s="99"/>
      <c r="L143" s="99"/>
    </row>
    <row r="144" spans="2:12" ht="22.5" customHeight="1">
      <c r="B144" s="219" t="s">
        <v>169</v>
      </c>
      <c r="C144" s="220"/>
      <c r="D144" s="119">
        <v>3918.1</v>
      </c>
      <c r="E144" s="77" t="s">
        <v>104</v>
      </c>
      <c r="G144" s="218"/>
      <c r="H144" s="218"/>
      <c r="I144" s="98"/>
      <c r="J144" s="99"/>
      <c r="K144" s="99"/>
      <c r="L144" s="99"/>
    </row>
    <row r="145" spans="4:15" ht="15.75">
      <c r="D145" s="114"/>
      <c r="N145" s="218"/>
      <c r="O145" s="218"/>
    </row>
    <row r="146" spans="4:15" ht="15.75">
      <c r="D146" s="113"/>
      <c r="I146" s="39"/>
      <c r="N146" s="221"/>
      <c r="O146" s="221"/>
    </row>
    <row r="147" spans="14:15" ht="15.75">
      <c r="N147" s="218"/>
      <c r="O147" s="218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5" t="s">
        <v>193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26"/>
      <c r="R1" s="127"/>
    </row>
    <row r="2" spans="2:18" s="1" customFormat="1" ht="15.75" customHeight="1">
      <c r="B2" s="186"/>
      <c r="C2" s="186"/>
      <c r="D2" s="18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7"/>
      <c r="B3" s="189"/>
      <c r="C3" s="190" t="s">
        <v>0</v>
      </c>
      <c r="D3" s="223" t="s">
        <v>187</v>
      </c>
      <c r="E3" s="46"/>
      <c r="F3" s="224" t="s">
        <v>107</v>
      </c>
      <c r="G3" s="225"/>
      <c r="H3" s="225"/>
      <c r="I3" s="225"/>
      <c r="J3" s="226"/>
      <c r="K3" s="123"/>
      <c r="L3" s="123"/>
      <c r="M3" s="227" t="s">
        <v>190</v>
      </c>
      <c r="N3" s="222" t="s">
        <v>185</v>
      </c>
      <c r="O3" s="222"/>
      <c r="P3" s="222"/>
      <c r="Q3" s="222"/>
      <c r="R3" s="222"/>
    </row>
    <row r="4" spans="1:18" ht="22.5" customHeight="1">
      <c r="A4" s="187"/>
      <c r="B4" s="189"/>
      <c r="C4" s="190"/>
      <c r="D4" s="223"/>
      <c r="E4" s="228" t="s">
        <v>191</v>
      </c>
      <c r="F4" s="230" t="s">
        <v>116</v>
      </c>
      <c r="G4" s="232" t="s">
        <v>167</v>
      </c>
      <c r="H4" s="202" t="s">
        <v>168</v>
      </c>
      <c r="I4" s="234" t="s">
        <v>188</v>
      </c>
      <c r="J4" s="236" t="s">
        <v>189</v>
      </c>
      <c r="K4" s="125" t="s">
        <v>174</v>
      </c>
      <c r="L4" s="130" t="s">
        <v>173</v>
      </c>
      <c r="M4" s="227"/>
      <c r="N4" s="212" t="s">
        <v>194</v>
      </c>
      <c r="O4" s="234" t="s">
        <v>136</v>
      </c>
      <c r="P4" s="222" t="s">
        <v>135</v>
      </c>
      <c r="Q4" s="131" t="s">
        <v>174</v>
      </c>
      <c r="R4" s="132" t="s">
        <v>173</v>
      </c>
    </row>
    <row r="5" spans="1:18" ht="82.5" customHeight="1">
      <c r="A5" s="188"/>
      <c r="B5" s="189"/>
      <c r="C5" s="190"/>
      <c r="D5" s="223"/>
      <c r="E5" s="229"/>
      <c r="F5" s="231"/>
      <c r="G5" s="233"/>
      <c r="H5" s="203"/>
      <c r="I5" s="235"/>
      <c r="J5" s="237"/>
      <c r="K5" s="210" t="s">
        <v>184</v>
      </c>
      <c r="L5" s="211"/>
      <c r="M5" s="227"/>
      <c r="N5" s="213"/>
      <c r="O5" s="235"/>
      <c r="P5" s="222"/>
      <c r="Q5" s="210" t="s">
        <v>199</v>
      </c>
      <c r="R5" s="21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83"/>
      <c r="O138" s="183"/>
    </row>
    <row r="139" spans="3:15" ht="15.75">
      <c r="C139" s="120">
        <v>41697</v>
      </c>
      <c r="D139" s="39">
        <v>2276.8</v>
      </c>
      <c r="F139" s="4" t="s">
        <v>166</v>
      </c>
      <c r="G139" s="184" t="s">
        <v>151</v>
      </c>
      <c r="H139" s="184"/>
      <c r="I139" s="115">
        <v>13825.22</v>
      </c>
      <c r="J139" s="181" t="s">
        <v>161</v>
      </c>
      <c r="K139" s="181"/>
      <c r="L139" s="181"/>
      <c r="M139" s="181"/>
      <c r="N139" s="183"/>
      <c r="O139" s="183"/>
    </row>
    <row r="140" spans="3:15" ht="15.75">
      <c r="C140" s="120">
        <v>41696</v>
      </c>
      <c r="D140" s="39">
        <v>3746.1</v>
      </c>
      <c r="G140" s="214" t="s">
        <v>155</v>
      </c>
      <c r="H140" s="214"/>
      <c r="I140" s="112">
        <v>0</v>
      </c>
      <c r="J140" s="215" t="s">
        <v>162</v>
      </c>
      <c r="K140" s="215"/>
      <c r="L140" s="215"/>
      <c r="M140" s="215"/>
      <c r="N140" s="183"/>
      <c r="O140" s="183"/>
    </row>
    <row r="141" spans="7:13" ht="15.75" customHeight="1">
      <c r="G141" s="184" t="s">
        <v>148</v>
      </c>
      <c r="H141" s="184"/>
      <c r="I141" s="112">
        <f>'[1]залишки  (2)'!$G$8/1000</f>
        <v>0</v>
      </c>
      <c r="J141" s="181" t="s">
        <v>163</v>
      </c>
      <c r="K141" s="181"/>
      <c r="L141" s="181"/>
      <c r="M141" s="181"/>
    </row>
    <row r="142" spans="2:13" ht="18.75" customHeight="1">
      <c r="B142" s="216" t="s">
        <v>160</v>
      </c>
      <c r="C142" s="217"/>
      <c r="D142" s="117">
        <v>121970.53</v>
      </c>
      <c r="E142" s="80"/>
      <c r="F142" s="100" t="s">
        <v>147</v>
      </c>
      <c r="G142" s="184" t="s">
        <v>149</v>
      </c>
      <c r="H142" s="184"/>
      <c r="I142" s="116">
        <v>108145.31</v>
      </c>
      <c r="J142" s="181" t="s">
        <v>164</v>
      </c>
      <c r="K142" s="181"/>
      <c r="L142" s="181"/>
      <c r="M142" s="181"/>
    </row>
    <row r="143" spans="7:12" ht="9.75" customHeight="1">
      <c r="G143" s="218"/>
      <c r="H143" s="218"/>
      <c r="I143" s="98"/>
      <c r="J143" s="99"/>
      <c r="K143" s="99"/>
      <c r="L143" s="99"/>
    </row>
    <row r="144" spans="2:12" ht="22.5" customHeight="1">
      <c r="B144" s="219" t="s">
        <v>169</v>
      </c>
      <c r="C144" s="220"/>
      <c r="D144" s="119">
        <v>0</v>
      </c>
      <c r="E144" s="77" t="s">
        <v>104</v>
      </c>
      <c r="G144" s="218"/>
      <c r="H144" s="218"/>
      <c r="I144" s="98"/>
      <c r="J144" s="99"/>
      <c r="K144" s="99"/>
      <c r="L144" s="99"/>
    </row>
    <row r="145" spans="4:15" ht="15.75">
      <c r="D145" s="114"/>
      <c r="N145" s="218"/>
      <c r="O145" s="218"/>
    </row>
    <row r="146" spans="4:15" ht="15.75">
      <c r="D146" s="113"/>
      <c r="I146" s="39"/>
      <c r="N146" s="221"/>
      <c r="O146" s="221"/>
    </row>
    <row r="147" spans="14:15" ht="15.75">
      <c r="N147" s="218"/>
      <c r="O147" s="21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5" t="s">
        <v>183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26"/>
      <c r="R1" s="127"/>
    </row>
    <row r="2" spans="2:18" s="1" customFormat="1" ht="15.75" customHeight="1">
      <c r="B2" s="186"/>
      <c r="C2" s="186"/>
      <c r="D2" s="18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7"/>
      <c r="B3" s="189"/>
      <c r="C3" s="190" t="s">
        <v>0</v>
      </c>
      <c r="D3" s="223" t="s">
        <v>192</v>
      </c>
      <c r="E3" s="46"/>
      <c r="F3" s="224" t="s">
        <v>107</v>
      </c>
      <c r="G3" s="225"/>
      <c r="H3" s="225"/>
      <c r="I3" s="225"/>
      <c r="J3" s="226"/>
      <c r="K3" s="123"/>
      <c r="L3" s="123"/>
      <c r="M3" s="206" t="s">
        <v>200</v>
      </c>
      <c r="N3" s="222" t="s">
        <v>178</v>
      </c>
      <c r="O3" s="222"/>
      <c r="P3" s="222"/>
      <c r="Q3" s="222"/>
      <c r="R3" s="222"/>
    </row>
    <row r="4" spans="1:18" ht="22.5" customHeight="1">
      <c r="A4" s="187"/>
      <c r="B4" s="189"/>
      <c r="C4" s="190"/>
      <c r="D4" s="223"/>
      <c r="E4" s="228" t="s">
        <v>153</v>
      </c>
      <c r="F4" s="230" t="s">
        <v>116</v>
      </c>
      <c r="G4" s="232" t="s">
        <v>175</v>
      </c>
      <c r="H4" s="202" t="s">
        <v>176</v>
      </c>
      <c r="I4" s="234" t="s">
        <v>188</v>
      </c>
      <c r="J4" s="236" t="s">
        <v>189</v>
      </c>
      <c r="K4" s="125" t="s">
        <v>174</v>
      </c>
      <c r="L4" s="130" t="s">
        <v>173</v>
      </c>
      <c r="M4" s="238"/>
      <c r="N4" s="212" t="s">
        <v>186</v>
      </c>
      <c r="O4" s="234" t="s">
        <v>136</v>
      </c>
      <c r="P4" s="222" t="s">
        <v>135</v>
      </c>
      <c r="Q4" s="131" t="s">
        <v>174</v>
      </c>
      <c r="R4" s="132" t="s">
        <v>173</v>
      </c>
    </row>
    <row r="5" spans="1:18" ht="82.5" customHeight="1">
      <c r="A5" s="188"/>
      <c r="B5" s="189"/>
      <c r="C5" s="190"/>
      <c r="D5" s="223"/>
      <c r="E5" s="229"/>
      <c r="F5" s="231"/>
      <c r="G5" s="233"/>
      <c r="H5" s="203"/>
      <c r="I5" s="235"/>
      <c r="J5" s="237"/>
      <c r="K5" s="210" t="s">
        <v>177</v>
      </c>
      <c r="L5" s="211"/>
      <c r="M5" s="207"/>
      <c r="N5" s="213"/>
      <c r="O5" s="235"/>
      <c r="P5" s="222"/>
      <c r="Q5" s="210" t="s">
        <v>179</v>
      </c>
      <c r="R5" s="21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83"/>
      <c r="O138" s="183"/>
    </row>
    <row r="139" spans="3:15" ht="15.75">
      <c r="C139" s="120">
        <v>41669</v>
      </c>
      <c r="D139" s="39">
        <v>4752.2</v>
      </c>
      <c r="F139" s="4" t="s">
        <v>166</v>
      </c>
      <c r="G139" s="184" t="s">
        <v>151</v>
      </c>
      <c r="H139" s="184"/>
      <c r="I139" s="115">
        <v>13825.22</v>
      </c>
      <c r="J139" s="181" t="s">
        <v>161</v>
      </c>
      <c r="K139" s="181"/>
      <c r="L139" s="181"/>
      <c r="M139" s="181"/>
      <c r="N139" s="183"/>
      <c r="O139" s="183"/>
    </row>
    <row r="140" spans="3:15" ht="15.75">
      <c r="C140" s="120">
        <v>41668</v>
      </c>
      <c r="D140" s="39">
        <v>1984.7</v>
      </c>
      <c r="G140" s="214" t="s">
        <v>155</v>
      </c>
      <c r="H140" s="214"/>
      <c r="I140" s="112">
        <v>0</v>
      </c>
      <c r="J140" s="215" t="s">
        <v>162</v>
      </c>
      <c r="K140" s="215"/>
      <c r="L140" s="215"/>
      <c r="M140" s="215"/>
      <c r="N140" s="183"/>
      <c r="O140" s="183"/>
    </row>
    <row r="141" spans="7:13" ht="15.75" customHeight="1">
      <c r="G141" s="184" t="s">
        <v>148</v>
      </c>
      <c r="H141" s="184"/>
      <c r="I141" s="112">
        <v>0</v>
      </c>
      <c r="J141" s="181" t="s">
        <v>163</v>
      </c>
      <c r="K141" s="181"/>
      <c r="L141" s="181"/>
      <c r="M141" s="181"/>
    </row>
    <row r="142" spans="2:13" ht="18.75" customHeight="1">
      <c r="B142" s="216" t="s">
        <v>160</v>
      </c>
      <c r="C142" s="217"/>
      <c r="D142" s="117">
        <v>111410.62</v>
      </c>
      <c r="E142" s="80"/>
      <c r="F142" s="100" t="s">
        <v>147</v>
      </c>
      <c r="G142" s="184" t="s">
        <v>149</v>
      </c>
      <c r="H142" s="184"/>
      <c r="I142" s="116">
        <v>97585.4</v>
      </c>
      <c r="J142" s="181" t="s">
        <v>164</v>
      </c>
      <c r="K142" s="181"/>
      <c r="L142" s="181"/>
      <c r="M142" s="181"/>
    </row>
    <row r="143" spans="7:12" ht="9.75" customHeight="1">
      <c r="G143" s="218"/>
      <c r="H143" s="218"/>
      <c r="I143" s="98"/>
      <c r="J143" s="99"/>
      <c r="K143" s="99"/>
      <c r="L143" s="99"/>
    </row>
    <row r="144" spans="2:12" ht="22.5" customHeight="1">
      <c r="B144" s="219" t="s">
        <v>169</v>
      </c>
      <c r="C144" s="220"/>
      <c r="D144" s="119">
        <v>0</v>
      </c>
      <c r="E144" s="77" t="s">
        <v>104</v>
      </c>
      <c r="G144" s="218"/>
      <c r="H144" s="218"/>
      <c r="I144" s="98"/>
      <c r="J144" s="99"/>
      <c r="K144" s="99"/>
      <c r="L144" s="99"/>
    </row>
    <row r="145" spans="4:15" ht="15.75">
      <c r="D145" s="114"/>
      <c r="N145" s="218"/>
      <c r="O145" s="218"/>
    </row>
    <row r="146" spans="4:15" ht="15.75">
      <c r="D146" s="113"/>
      <c r="I146" s="39"/>
      <c r="N146" s="221"/>
      <c r="O146" s="221"/>
    </row>
    <row r="147" spans="14:15" ht="15.75">
      <c r="N147" s="218"/>
      <c r="O147" s="21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2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17" sqref="F117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5" t="s">
        <v>297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26"/>
      <c r="R1" s="127"/>
    </row>
    <row r="2" spans="2:18" s="1" customFormat="1" ht="15.75" customHeight="1">
      <c r="B2" s="186"/>
      <c r="C2" s="186"/>
      <c r="D2" s="18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7"/>
      <c r="B3" s="189"/>
      <c r="C3" s="190" t="s">
        <v>0</v>
      </c>
      <c r="D3" s="191" t="s">
        <v>224</v>
      </c>
      <c r="E3" s="191"/>
      <c r="F3" s="192" t="s">
        <v>107</v>
      </c>
      <c r="G3" s="193"/>
      <c r="H3" s="193"/>
      <c r="I3" s="193"/>
      <c r="J3" s="193"/>
      <c r="K3" s="193"/>
      <c r="L3" s="194"/>
      <c r="M3" s="195" t="s">
        <v>225</v>
      </c>
      <c r="N3" s="197" t="s">
        <v>294</v>
      </c>
      <c r="O3" s="197"/>
      <c r="P3" s="197"/>
      <c r="Q3" s="197"/>
      <c r="R3" s="197"/>
    </row>
    <row r="4" spans="1:18" ht="22.5" customHeight="1">
      <c r="A4" s="187"/>
      <c r="B4" s="189"/>
      <c r="C4" s="190"/>
      <c r="D4" s="191"/>
      <c r="E4" s="191"/>
      <c r="F4" s="198" t="s">
        <v>116</v>
      </c>
      <c r="G4" s="200" t="s">
        <v>291</v>
      </c>
      <c r="H4" s="202" t="s">
        <v>301</v>
      </c>
      <c r="I4" s="204" t="s">
        <v>188</v>
      </c>
      <c r="J4" s="206" t="s">
        <v>189</v>
      </c>
      <c r="K4" s="208" t="s">
        <v>292</v>
      </c>
      <c r="L4" s="209"/>
      <c r="M4" s="196"/>
      <c r="N4" s="212" t="s">
        <v>298</v>
      </c>
      <c r="O4" s="204" t="s">
        <v>136</v>
      </c>
      <c r="P4" s="204" t="s">
        <v>135</v>
      </c>
      <c r="Q4" s="208" t="s">
        <v>296</v>
      </c>
      <c r="R4" s="209"/>
    </row>
    <row r="5" spans="1:18" ht="82.5" customHeight="1">
      <c r="A5" s="188"/>
      <c r="B5" s="189"/>
      <c r="C5" s="190"/>
      <c r="D5" s="150" t="s">
        <v>209</v>
      </c>
      <c r="E5" s="158" t="s">
        <v>290</v>
      </c>
      <c r="F5" s="199"/>
      <c r="G5" s="201"/>
      <c r="H5" s="203"/>
      <c r="I5" s="205"/>
      <c r="J5" s="207"/>
      <c r="K5" s="210"/>
      <c r="L5" s="211"/>
      <c r="M5" s="151" t="s">
        <v>293</v>
      </c>
      <c r="N5" s="213"/>
      <c r="O5" s="205"/>
      <c r="P5" s="205"/>
      <c r="Q5" s="210"/>
      <c r="R5" s="21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428715.06000000006</v>
      </c>
      <c r="G8" s="22">
        <f aca="true" t="shared" si="0" ref="G8:G30">F8-E8</f>
        <v>-2542.969999999914</v>
      </c>
      <c r="H8" s="51">
        <f>F8/E8*100</f>
        <v>99.4103367768016</v>
      </c>
      <c r="I8" s="36">
        <f aca="true" t="shared" si="1" ref="I8:I17">F8-D8</f>
        <v>-59761.23999999993</v>
      </c>
      <c r="J8" s="36">
        <f aca="true" t="shared" si="2" ref="J8:J14">F8/D8*100</f>
        <v>87.76578515682338</v>
      </c>
      <c r="K8" s="36">
        <f>F8-421084.1</f>
        <v>7630.960000000079</v>
      </c>
      <c r="L8" s="136">
        <f>F8/421084.1</f>
        <v>1.0181221755939018</v>
      </c>
      <c r="M8" s="22">
        <f>M10+M19+M33+M56+M68+M30</f>
        <v>40254.39000000002</v>
      </c>
      <c r="N8" s="22">
        <f>N10+N19+N33+N56+N68+N30</f>
        <v>39955.81000000002</v>
      </c>
      <c r="O8" s="36">
        <f aca="true" t="shared" si="3" ref="O8:O71">N8-M8</f>
        <v>-298.58000000000175</v>
      </c>
      <c r="P8" s="36">
        <f>F8/M8*100</f>
        <v>1065.0144245136985</v>
      </c>
      <c r="Q8" s="36">
        <f>N8-39535.7</f>
        <v>420.1100000000224</v>
      </c>
      <c r="R8" s="134">
        <f>N8/39535.7</f>
        <v>1.0106260923671522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349197.38</v>
      </c>
      <c r="G9" s="22">
        <f t="shared" si="0"/>
        <v>349197.38</v>
      </c>
      <c r="H9" s="20"/>
      <c r="I9" s="56">
        <f t="shared" si="1"/>
        <v>-37815.82000000001</v>
      </c>
      <c r="J9" s="56">
        <f t="shared" si="2"/>
        <v>90.22880356535643</v>
      </c>
      <c r="K9" s="56"/>
      <c r="L9" s="135"/>
      <c r="M9" s="20">
        <f>M10+M17</f>
        <v>32301.900000000023</v>
      </c>
      <c r="N9" s="20">
        <f>N10+N17</f>
        <v>33175.19</v>
      </c>
      <c r="O9" s="36">
        <f t="shared" si="3"/>
        <v>873.289999999979</v>
      </c>
      <c r="P9" s="56">
        <f>F9/M9*100</f>
        <v>1081.0428488726661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349197.38</v>
      </c>
      <c r="G10" s="49">
        <f t="shared" si="0"/>
        <v>-2810.6199999999953</v>
      </c>
      <c r="H10" s="40">
        <f aca="true" t="shared" si="4" ref="H10:H17">F10/E10*100</f>
        <v>99.2015465557601</v>
      </c>
      <c r="I10" s="56">
        <f t="shared" si="1"/>
        <v>-37815.82000000001</v>
      </c>
      <c r="J10" s="56">
        <f t="shared" si="2"/>
        <v>90.22880356535643</v>
      </c>
      <c r="K10" s="141">
        <f>F10-334336.4</f>
        <v>14860.979999999981</v>
      </c>
      <c r="L10" s="142">
        <f>F10/334336.4</f>
        <v>1.0444491835169607</v>
      </c>
      <c r="M10" s="40">
        <f>E10-жовтень!E10</f>
        <v>32301.900000000023</v>
      </c>
      <c r="N10" s="40">
        <f>F10-жовтень!F10</f>
        <v>33175.19</v>
      </c>
      <c r="O10" s="53">
        <f t="shared" si="3"/>
        <v>873.289999999979</v>
      </c>
      <c r="P10" s="56">
        <f aca="true" t="shared" si="5" ref="P10:P17">N10/M10*100</f>
        <v>102.70352517963333</v>
      </c>
      <c r="Q10" s="141">
        <f>N10-32243.9</f>
        <v>931.2900000000009</v>
      </c>
      <c r="R10" s="142">
        <f>N10/32243.9</f>
        <v>1.0288826723814428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-1352.56</v>
      </c>
      <c r="G19" s="49">
        <f t="shared" si="0"/>
        <v>-2432.16</v>
      </c>
      <c r="H19" s="40">
        <f aca="true" t="shared" si="6" ref="H19:H29">F19/E19*100</f>
        <v>-125.28343831048537</v>
      </c>
      <c r="I19" s="56">
        <f aca="true" t="shared" si="7" ref="I19:I29">F19-D19</f>
        <v>-2352.56</v>
      </c>
      <c r="J19" s="56">
        <f aca="true" t="shared" si="8" ref="J19:J29">F19/D19*100</f>
        <v>-135.256</v>
      </c>
      <c r="K19" s="167">
        <f>F19-7207</f>
        <v>-8559.56</v>
      </c>
      <c r="L19" s="168">
        <f>F19/7207</f>
        <v>-0.18767309560149853</v>
      </c>
      <c r="M19" s="40">
        <f>E19-жовтень!E19</f>
        <v>12</v>
      </c>
      <c r="N19" s="40">
        <f>F19-жовтень!F19</f>
        <v>-471.66999999999996</v>
      </c>
      <c r="O19" s="53">
        <f t="shared" si="3"/>
        <v>-483.66999999999996</v>
      </c>
      <c r="P19" s="56">
        <f aca="true" t="shared" si="9" ref="P19:P29">N19/M19*100</f>
        <v>-3930.583333333333</v>
      </c>
      <c r="Q19" s="56">
        <f>N19-363.4</f>
        <v>-835.0699999999999</v>
      </c>
      <c r="R19" s="135">
        <f>N19/363.4</f>
        <v>-1.297936158503027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-869.42</v>
      </c>
      <c r="G29" s="49">
        <f t="shared" si="0"/>
        <v>-1689.02</v>
      </c>
      <c r="H29" s="40">
        <f t="shared" si="6"/>
        <v>-106.07857491459247</v>
      </c>
      <c r="I29" s="56">
        <f t="shared" si="7"/>
        <v>-1799.42</v>
      </c>
      <c r="J29" s="56">
        <f t="shared" si="8"/>
        <v>-93.48602150537634</v>
      </c>
      <c r="K29" s="148">
        <f>F29-3580.01</f>
        <v>-4449.43</v>
      </c>
      <c r="L29" s="149">
        <f>F29/3580.01</f>
        <v>-0.24285407024002723</v>
      </c>
      <c r="M29" s="40">
        <f>E29-жовтень!E29</f>
        <v>12</v>
      </c>
      <c r="N29" s="40">
        <f>F29-жовтень!F29</f>
        <v>-487.52</v>
      </c>
      <c r="O29" s="148">
        <f t="shared" si="3"/>
        <v>-499.52</v>
      </c>
      <c r="P29" s="145">
        <f t="shared" si="9"/>
        <v>-4062.6666666666665</v>
      </c>
      <c r="Q29" s="148">
        <f>N29-664.71</f>
        <v>-1152.23</v>
      </c>
      <c r="R29" s="149">
        <f>N29/664.71</f>
        <v>-0.7334326247536519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74997.77</v>
      </c>
      <c r="G33" s="49">
        <f aca="true" t="shared" si="14" ref="G33:G72">F33-E33</f>
        <v>3084.340000000011</v>
      </c>
      <c r="H33" s="40">
        <f aca="true" t="shared" si="15" ref="H33:H67">F33/E33*100</f>
        <v>104.28896243719707</v>
      </c>
      <c r="I33" s="56">
        <f>F33-D33</f>
        <v>-18568.229999999996</v>
      </c>
      <c r="J33" s="56">
        <f aca="true" t="shared" si="16" ref="J33:J72">F33/D33*100</f>
        <v>80.15493875980592</v>
      </c>
      <c r="K33" s="141">
        <f>F33-73845.7</f>
        <v>1152.070000000007</v>
      </c>
      <c r="L33" s="142">
        <f>F33/73845.7</f>
        <v>1.0156010437980818</v>
      </c>
      <c r="M33" s="40">
        <f>E33-жовтень!E33</f>
        <v>7377.5899999999965</v>
      </c>
      <c r="N33" s="40">
        <f>F33-жовтень!F33</f>
        <v>6730.930000000008</v>
      </c>
      <c r="O33" s="53">
        <f t="shared" si="3"/>
        <v>-646.6599999999889</v>
      </c>
      <c r="P33" s="56">
        <f aca="true" t="shared" si="17" ref="P33:P67">N33/M33*100</f>
        <v>91.2348070304803</v>
      </c>
      <c r="Q33" s="141">
        <f>N33-6429.9</f>
        <v>301.03000000000793</v>
      </c>
      <c r="R33" s="142">
        <f>N33/6429.9</f>
        <v>1.0468172133314684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55750.15</v>
      </c>
      <c r="G55" s="144">
        <f t="shared" si="14"/>
        <v>2901.6200000000026</v>
      </c>
      <c r="H55" s="146">
        <f t="shared" si="15"/>
        <v>105.49044599726804</v>
      </c>
      <c r="I55" s="145">
        <f t="shared" si="18"/>
        <v>-14515.849999999999</v>
      </c>
      <c r="J55" s="145">
        <f t="shared" si="16"/>
        <v>79.34157344946347</v>
      </c>
      <c r="K55" s="148">
        <f>F55-53912.95</f>
        <v>1837.2000000000044</v>
      </c>
      <c r="L55" s="149">
        <f>F55/53912.95</f>
        <v>1.034077155859585</v>
      </c>
      <c r="M55" s="40">
        <f>E55-жовтень!E55</f>
        <v>5442.989999999998</v>
      </c>
      <c r="N55" s="40">
        <f>F55-жовтень!F55</f>
        <v>5045.5</v>
      </c>
      <c r="O55" s="148">
        <f t="shared" si="3"/>
        <v>-397.48999999999796</v>
      </c>
      <c r="P55" s="148">
        <f t="shared" si="17"/>
        <v>92.69721237775565</v>
      </c>
      <c r="Q55" s="160">
        <f>N55-4756.32</f>
        <v>289.1800000000003</v>
      </c>
      <c r="R55" s="161">
        <f>N55/4756.32</f>
        <v>1.0607991051905676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1.51+5837.61</f>
        <v>5839.12</v>
      </c>
      <c r="G56" s="49">
        <f t="shared" si="14"/>
        <v>-380.77999999999975</v>
      </c>
      <c r="H56" s="40">
        <f t="shared" si="15"/>
        <v>93.87803662438303</v>
      </c>
      <c r="I56" s="56">
        <f t="shared" si="18"/>
        <v>-1020.8800000000001</v>
      </c>
      <c r="J56" s="56">
        <f t="shared" si="16"/>
        <v>85.11836734693877</v>
      </c>
      <c r="K56" s="56">
        <f>F56-6560</f>
        <v>-720.8800000000001</v>
      </c>
      <c r="L56" s="135">
        <f>F56/6560</f>
        <v>0.8901097560975609</v>
      </c>
      <c r="M56" s="40">
        <f>E56-жовтень!E56</f>
        <v>553.3999999999996</v>
      </c>
      <c r="N56" s="40">
        <f>F56-жовтень!F56</f>
        <v>493.15999999999985</v>
      </c>
      <c r="O56" s="53">
        <f t="shared" si="3"/>
        <v>-60.23999999999978</v>
      </c>
      <c r="P56" s="56">
        <f t="shared" si="17"/>
        <v>89.1145645103</v>
      </c>
      <c r="Q56" s="56">
        <f>N56-486.5</f>
        <v>6.6599999999998545</v>
      </c>
      <c r="R56" s="135">
        <f>N56/486.5</f>
        <v>1.013689619732785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1.95</v>
      </c>
      <c r="G68" s="49">
        <f t="shared" si="14"/>
        <v>1.8499999999999999</v>
      </c>
      <c r="H68" s="40"/>
      <c r="I68" s="56">
        <f t="shared" si="18"/>
        <v>1.8499999999999999</v>
      </c>
      <c r="J68" s="56">
        <f t="shared" si="16"/>
        <v>1950</v>
      </c>
      <c r="K68" s="56">
        <f>F68-(-1.9)</f>
        <v>3.8499999999999996</v>
      </c>
      <c r="L68" s="135"/>
      <c r="M68" s="40">
        <f>E68-жовтень!E68</f>
        <v>0</v>
      </c>
      <c r="N68" s="40">
        <f>F68-жовтень!F68</f>
        <v>0.1499999999999999</v>
      </c>
      <c r="O68" s="53">
        <f t="shared" si="3"/>
        <v>0.1499999999999999</v>
      </c>
      <c r="P68" s="56"/>
      <c r="Q68" s="56">
        <f>N68-0.2</f>
        <v>-0.0500000000000001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11904.400000000001</v>
      </c>
      <c r="G74" s="50">
        <f aca="true" t="shared" si="24" ref="G74:G92">F74-E74</f>
        <v>-3372.5999999999985</v>
      </c>
      <c r="H74" s="51">
        <f aca="true" t="shared" si="25" ref="H74:H87">F74/E74*100</f>
        <v>77.92367611442039</v>
      </c>
      <c r="I74" s="36">
        <f aca="true" t="shared" si="26" ref="I74:I92">F74-D74</f>
        <v>-6453.899999999998</v>
      </c>
      <c r="J74" s="36">
        <f aca="true" t="shared" si="27" ref="J74:J92">F74/D74*100</f>
        <v>64.84478410310324</v>
      </c>
      <c r="K74" s="36">
        <f>F74-17827.8</f>
        <v>-5923.399999999998</v>
      </c>
      <c r="L74" s="136">
        <f>F74/17827.8</f>
        <v>0.6677436363432393</v>
      </c>
      <c r="M74" s="22">
        <f>M77+M86+M88+M89+M94+M95+M96+M97+M99+M87+M104</f>
        <v>1580.5</v>
      </c>
      <c r="N74" s="22">
        <f>N77+N86+N88+N89+N94+N95+N96+N97+N99+N32+N104+N87+N103</f>
        <v>1115.4900000000002</v>
      </c>
      <c r="O74" s="55">
        <f aca="true" t="shared" si="28" ref="O74:O92">N74-M74</f>
        <v>-465.00999999999976</v>
      </c>
      <c r="P74" s="36">
        <f>N74/M74*100</f>
        <v>70.57829800695984</v>
      </c>
      <c r="Q74" s="36">
        <f>N74-1502.5</f>
        <v>-387.00999999999976</v>
      </c>
      <c r="R74" s="136">
        <f>N74/1502.5</f>
        <v>0.7424226289517473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153.52</v>
      </c>
      <c r="G77" s="49">
        <f t="shared" si="24"/>
        <v>-6.47999999999999</v>
      </c>
      <c r="H77" s="40">
        <f t="shared" si="25"/>
        <v>95.95</v>
      </c>
      <c r="I77" s="56">
        <f t="shared" si="26"/>
        <v>-346.48</v>
      </c>
      <c r="J77" s="56">
        <f t="shared" si="27"/>
        <v>30.704000000000004</v>
      </c>
      <c r="K77" s="167">
        <f>F77-1728.8</f>
        <v>-1575.28</v>
      </c>
      <c r="L77" s="168">
        <f>F77/1728.8</f>
        <v>0.08880148079592783</v>
      </c>
      <c r="M77" s="40">
        <f>E77-жовтень!E77</f>
        <v>50</v>
      </c>
      <c r="N77" s="40">
        <f>F77-жовтень!F77</f>
        <v>30.070000000000007</v>
      </c>
      <c r="O77" s="53">
        <f t="shared" si="28"/>
        <v>-19.929999999999993</v>
      </c>
      <c r="P77" s="56">
        <f aca="true" t="shared" si="29" ref="P77:P87">N77/M77*100</f>
        <v>60.140000000000015</v>
      </c>
      <c r="Q77" s="56">
        <f>N77-11.1</f>
        <v>18.970000000000006</v>
      </c>
      <c r="R77" s="135">
        <f>N77/11.1</f>
        <v>2.70900900900901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242.79</v>
      </c>
      <c r="G87" s="49">
        <f t="shared" si="24"/>
        <v>22.789999999999992</v>
      </c>
      <c r="H87" s="40">
        <f t="shared" si="25"/>
        <v>110.35909090909091</v>
      </c>
      <c r="I87" s="56">
        <f t="shared" si="26"/>
        <v>-257.21000000000004</v>
      </c>
      <c r="J87" s="56">
        <f t="shared" si="27"/>
        <v>48.558</v>
      </c>
      <c r="K87" s="56">
        <f>F87-227.9</f>
        <v>14.889999999999986</v>
      </c>
      <c r="L87" s="135">
        <f>F87/227.9</f>
        <v>1.0653356735410267</v>
      </c>
      <c r="M87" s="40">
        <f>E87-жовтень!E87</f>
        <v>0</v>
      </c>
      <c r="N87" s="40">
        <f>F87-жовтень!F87</f>
        <v>-36.81000000000003</v>
      </c>
      <c r="O87" s="53">
        <f t="shared" si="28"/>
        <v>-36.81000000000003</v>
      </c>
      <c r="P87" s="56" t="e">
        <f t="shared" si="29"/>
        <v>#DIV/0!</v>
      </c>
      <c r="Q87" s="56">
        <f>N87-5.7</f>
        <v>-42.51000000000003</v>
      </c>
      <c r="R87" s="135">
        <f>N87/5.7</f>
        <v>-6.4578947368421105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121.56</v>
      </c>
      <c r="G89" s="49">
        <f t="shared" si="24"/>
        <v>-37.44</v>
      </c>
      <c r="H89" s="40">
        <f>F89/E89*100</f>
        <v>76.45283018867924</v>
      </c>
      <c r="I89" s="56">
        <f t="shared" si="26"/>
        <v>-53.44</v>
      </c>
      <c r="J89" s="56">
        <f t="shared" si="27"/>
        <v>69.46285714285715</v>
      </c>
      <c r="K89" s="56">
        <f>F89-147.9</f>
        <v>-26.340000000000003</v>
      </c>
      <c r="L89" s="135">
        <f>F89/147.9</f>
        <v>0.8219066937119676</v>
      </c>
      <c r="M89" s="40">
        <f>E89-жовтень!E89</f>
        <v>15</v>
      </c>
      <c r="N89" s="40">
        <f>F89-жовтень!F89</f>
        <v>9.11</v>
      </c>
      <c r="O89" s="53">
        <f t="shared" si="28"/>
        <v>-5.890000000000001</v>
      </c>
      <c r="P89" s="56">
        <f>N89/M89*100</f>
        <v>60.73333333333333</v>
      </c>
      <c r="Q89" s="56">
        <f>N89-10.4</f>
        <v>-1.290000000000001</v>
      </c>
      <c r="R89" s="135">
        <f>N89/10.4</f>
        <v>0.8759615384615383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6573.91</v>
      </c>
      <c r="G95" s="49">
        <f t="shared" si="31"/>
        <v>167.40999999999985</v>
      </c>
      <c r="H95" s="40">
        <f>F95/E95*100</f>
        <v>102.61312729259346</v>
      </c>
      <c r="I95" s="56">
        <f t="shared" si="32"/>
        <v>-426.09000000000015</v>
      </c>
      <c r="J95" s="56">
        <f>F95/D95*100</f>
        <v>93.913</v>
      </c>
      <c r="K95" s="56">
        <f>F95-6761</f>
        <v>-187.09000000000015</v>
      </c>
      <c r="L95" s="135">
        <f>F95/6761</f>
        <v>0.9723280579795888</v>
      </c>
      <c r="M95" s="40">
        <f>E95-жовтень!E95</f>
        <v>575</v>
      </c>
      <c r="N95" s="40">
        <f>F95-жовтень!F95</f>
        <v>636.7600000000002</v>
      </c>
      <c r="O95" s="53">
        <f t="shared" si="33"/>
        <v>61.76000000000022</v>
      </c>
      <c r="P95" s="56">
        <f>N95/M95*100</f>
        <v>110.74086956521742</v>
      </c>
      <c r="Q95" s="56">
        <f>N95-591</f>
        <v>45.76000000000022</v>
      </c>
      <c r="R95" s="135">
        <f>N95/591</f>
        <v>1.077428087986464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975.44</v>
      </c>
      <c r="G96" s="49">
        <f t="shared" si="31"/>
        <v>-39.059999999999945</v>
      </c>
      <c r="H96" s="40">
        <f>F96/E96*100</f>
        <v>96.14982750123214</v>
      </c>
      <c r="I96" s="56">
        <f t="shared" si="32"/>
        <v>-224.55999999999995</v>
      </c>
      <c r="J96" s="56">
        <f>F96/D96*100</f>
        <v>81.28666666666668</v>
      </c>
      <c r="K96" s="56">
        <f>F96-1013.8</f>
        <v>-38.3599999999999</v>
      </c>
      <c r="L96" s="135">
        <f>F96/1013.8</f>
        <v>0.9621621621621622</v>
      </c>
      <c r="M96" s="40">
        <f>E96-жовтень!E96</f>
        <v>110</v>
      </c>
      <c r="N96" s="40">
        <f>F96-жовтень!F96</f>
        <v>110.2700000000001</v>
      </c>
      <c r="O96" s="53">
        <f t="shared" si="33"/>
        <v>0.2700000000000955</v>
      </c>
      <c r="P96" s="56">
        <f>N96/M96*100</f>
        <v>100.24545454545463</v>
      </c>
      <c r="Q96" s="56">
        <f>N96-83.7</f>
        <v>26.570000000000093</v>
      </c>
      <c r="R96" s="135">
        <f>N96/83.7</f>
        <v>1.3174432497013153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3812.69</v>
      </c>
      <c r="G99" s="49">
        <f t="shared" si="31"/>
        <v>145.69000000000005</v>
      </c>
      <c r="H99" s="40">
        <f>F99/E99*100</f>
        <v>103.97300245432233</v>
      </c>
      <c r="I99" s="56">
        <f t="shared" si="32"/>
        <v>-760.0099999999998</v>
      </c>
      <c r="J99" s="56">
        <f>F99/D99*100</f>
        <v>83.3794038533033</v>
      </c>
      <c r="K99" s="56">
        <f>F99-4178.8</f>
        <v>-366.1100000000001</v>
      </c>
      <c r="L99" s="135">
        <f>F99/4178.8</f>
        <v>0.9123887240356083</v>
      </c>
      <c r="M99" s="40">
        <f>E99-жовтень!E99</f>
        <v>330</v>
      </c>
      <c r="N99" s="40">
        <f>F99-жовтень!F99</f>
        <v>365.75</v>
      </c>
      <c r="O99" s="53">
        <f t="shared" si="33"/>
        <v>35.75</v>
      </c>
      <c r="P99" s="56">
        <f>N99/M99*100</f>
        <v>110.83333333333334</v>
      </c>
      <c r="Q99" s="56">
        <f>N99-332.8</f>
        <v>32.94999999999999</v>
      </c>
      <c r="R99" s="135">
        <f>N99/332.8</f>
        <v>1.0990084134615383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926.9</v>
      </c>
      <c r="G102" s="144"/>
      <c r="H102" s="146"/>
      <c r="I102" s="145"/>
      <c r="J102" s="145"/>
      <c r="K102" s="148">
        <f>F102-738.2</f>
        <v>188.69999999999993</v>
      </c>
      <c r="L102" s="149">
        <f>F102/738.2</f>
        <v>1.2556217827147114</v>
      </c>
      <c r="M102" s="40">
        <f>E102-жовтень!E102</f>
        <v>0</v>
      </c>
      <c r="N102" s="40">
        <f>F102-жовтень!F102</f>
        <v>88.39999999999998</v>
      </c>
      <c r="O102" s="53"/>
      <c r="P102" s="60"/>
      <c r="Q102" s="60">
        <f>N102-89.7</f>
        <v>-1.3000000000000256</v>
      </c>
      <c r="R102" s="138">
        <f>N102/89.7</f>
        <v>0.9855072463768113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23.85</v>
      </c>
      <c r="G105" s="49">
        <f>F105-E105</f>
        <v>-6.349999999999998</v>
      </c>
      <c r="H105" s="40">
        <f>F105/E105*100</f>
        <v>78.97350993377485</v>
      </c>
      <c r="I105" s="56">
        <f t="shared" si="34"/>
        <v>-21.15</v>
      </c>
      <c r="J105" s="56">
        <f aca="true" t="shared" si="36" ref="J105:J110">F105/D105*100</f>
        <v>53</v>
      </c>
      <c r="K105" s="56">
        <f>F105-35.8</f>
        <v>-11.949999999999996</v>
      </c>
      <c r="L105" s="135">
        <f>F105/35.8</f>
        <v>0.6662011173184359</v>
      </c>
      <c r="M105" s="40">
        <f>E105-жовтень!E105</f>
        <v>3</v>
      </c>
      <c r="N105" s="40">
        <f>F105-жовтень!F105</f>
        <v>2.1400000000000006</v>
      </c>
      <c r="O105" s="53">
        <f t="shared" si="35"/>
        <v>-0.8599999999999994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440643.68000000005</v>
      </c>
      <c r="G107" s="175">
        <f>F107-E107</f>
        <v>-5921.54999999993</v>
      </c>
      <c r="H107" s="51">
        <f>F107/E107*100</f>
        <v>98.67397871527079</v>
      </c>
      <c r="I107" s="36">
        <f t="shared" si="34"/>
        <v>-66235.91999999993</v>
      </c>
      <c r="J107" s="36">
        <f t="shared" si="36"/>
        <v>86.9326127940442</v>
      </c>
      <c r="K107" s="36">
        <f>F107-438950.2</f>
        <v>1693.4800000000396</v>
      </c>
      <c r="L107" s="136">
        <f>F107/438950.2</f>
        <v>1.0038580230741438</v>
      </c>
      <c r="M107" s="22">
        <f>M8+M74+M105+M106</f>
        <v>41837.89000000002</v>
      </c>
      <c r="N107" s="152">
        <f>N8+N74+N105+N106</f>
        <v>41073.44000000002</v>
      </c>
      <c r="O107" s="55">
        <f t="shared" si="35"/>
        <v>-764.4500000000044</v>
      </c>
      <c r="P107" s="36">
        <f>N107/M107*100</f>
        <v>98.17282850545283</v>
      </c>
      <c r="Q107" s="36">
        <f>N107-41056.6</f>
        <v>16.840000000018335</v>
      </c>
      <c r="R107" s="136">
        <f>N107/41056.6</f>
        <v>1.000410165478876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350172.82</v>
      </c>
      <c r="G108" s="153">
        <f>G10-G18+G96</f>
        <v>-2849.6799999999953</v>
      </c>
      <c r="H108" s="72">
        <f>F108/E108*100</f>
        <v>99.19277666437691</v>
      </c>
      <c r="I108" s="52">
        <f t="shared" si="34"/>
        <v>-38040.380000000005</v>
      </c>
      <c r="J108" s="52">
        <f t="shared" si="36"/>
        <v>90.20116266010533</v>
      </c>
      <c r="K108" s="52">
        <f>F108-335439.2</f>
        <v>14733.619999999995</v>
      </c>
      <c r="L108" s="137">
        <f>F108/335439.2</f>
        <v>1.0439233697194603</v>
      </c>
      <c r="M108" s="71">
        <f>M10-M18+M96</f>
        <v>32411.900000000023</v>
      </c>
      <c r="N108" s="153">
        <f>N10-N18+N96</f>
        <v>33285.46</v>
      </c>
      <c r="O108" s="53">
        <f t="shared" si="35"/>
        <v>873.5599999999758</v>
      </c>
      <c r="P108" s="52">
        <f>N108/M108*100</f>
        <v>102.6951829420675</v>
      </c>
      <c r="Q108" s="52">
        <f>N108-32327.7</f>
        <v>957.7599999999984</v>
      </c>
      <c r="R108" s="137">
        <f>N108/32327.7</f>
        <v>1.0296266050476834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90470.86000000004</v>
      </c>
      <c r="G109" s="176">
        <f>F109-E109</f>
        <v>-3071.869999999937</v>
      </c>
      <c r="H109" s="72">
        <f>F109/E109*100</f>
        <v>96.71607830988049</v>
      </c>
      <c r="I109" s="52">
        <f t="shared" si="34"/>
        <v>-28195.53999999992</v>
      </c>
      <c r="J109" s="52">
        <f t="shared" si="36"/>
        <v>76.23966008912384</v>
      </c>
      <c r="K109" s="52">
        <f>F109-103511.1</f>
        <v>-13040.239999999962</v>
      </c>
      <c r="L109" s="137">
        <f>F109/103511.1</f>
        <v>0.874020853802153</v>
      </c>
      <c r="M109" s="71">
        <f>M107-M108</f>
        <v>9425.989999999998</v>
      </c>
      <c r="N109" s="153">
        <f>N107-N108</f>
        <v>7787.980000000018</v>
      </c>
      <c r="O109" s="53">
        <f t="shared" si="35"/>
        <v>-1638.0099999999802</v>
      </c>
      <c r="P109" s="52">
        <f>N109/M109*100</f>
        <v>82.6224088928592</v>
      </c>
      <c r="Q109" s="52">
        <f>N109-8729</f>
        <v>-941.0199999999822</v>
      </c>
      <c r="R109" s="137">
        <f>N109/8729</f>
        <v>0.8921961278496985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350172.82</v>
      </c>
      <c r="G110" s="111">
        <f>F110-E110</f>
        <v>1490.2200000000303</v>
      </c>
      <c r="H110" s="72">
        <f>F110/E110*100</f>
        <v>100.42738582309528</v>
      </c>
      <c r="I110" s="81">
        <f t="shared" si="34"/>
        <v>-38040.380000000005</v>
      </c>
      <c r="J110" s="52">
        <f t="shared" si="36"/>
        <v>90.20116266010533</v>
      </c>
      <c r="K110" s="52"/>
      <c r="L110" s="137"/>
      <c r="M110" s="72">
        <f>E110-жовтень!E110</f>
        <v>33441.899999999965</v>
      </c>
      <c r="N110" s="71">
        <f>N108</f>
        <v>33285.46</v>
      </c>
      <c r="O110" s="63">
        <f t="shared" si="35"/>
        <v>-156.43999999996595</v>
      </c>
      <c r="P110" s="52">
        <f>N110/M110*100</f>
        <v>99.5322036128331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0.55</v>
      </c>
      <c r="G114" s="49">
        <f aca="true" t="shared" si="37" ref="G114:G126">F114-E114</f>
        <v>0.55</v>
      </c>
      <c r="H114" s="40"/>
      <c r="I114" s="60">
        <f aca="true" t="shared" si="38" ref="I114:I125">F114-D114</f>
        <v>0.55</v>
      </c>
      <c r="J114" s="60"/>
      <c r="K114" s="60">
        <f>F114-20.7</f>
        <v>-20.15</v>
      </c>
      <c r="L114" s="138">
        <f>F114/20.7</f>
        <v>0.026570048309178747</v>
      </c>
      <c r="M114" s="40">
        <f>E114-жовтень!E114</f>
        <v>0</v>
      </c>
      <c r="N114" s="40">
        <f>F114-жовтень!F114</f>
        <v>0.5900000000000001</v>
      </c>
      <c r="O114" s="53"/>
      <c r="P114" s="60"/>
      <c r="Q114" s="60">
        <f>N114-(-0.8)</f>
        <v>1.3900000000000001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1484.81</v>
      </c>
      <c r="G115" s="49">
        <f t="shared" si="37"/>
        <v>-1849.5900000000001</v>
      </c>
      <c r="H115" s="40">
        <f aca="true" t="shared" si="39" ref="H115:H126">F115/E115*100</f>
        <v>44.53005038387715</v>
      </c>
      <c r="I115" s="60">
        <f t="shared" si="38"/>
        <v>-2186.69</v>
      </c>
      <c r="J115" s="60">
        <f aca="true" t="shared" si="40" ref="J115:J121">F115/D115*100</f>
        <v>40.441508920059924</v>
      </c>
      <c r="K115" s="60">
        <f>F115-3211.4</f>
        <v>-1726.5900000000001</v>
      </c>
      <c r="L115" s="138">
        <f>F115/3211.4</f>
        <v>0.4623559818147848</v>
      </c>
      <c r="M115" s="40">
        <f>E115-жовтень!E115</f>
        <v>327.4000000000001</v>
      </c>
      <c r="N115" s="40">
        <f>F115-жовтень!F115</f>
        <v>166.26</v>
      </c>
      <c r="O115" s="53">
        <f aca="true" t="shared" si="41" ref="O115:O126">N115-M115</f>
        <v>-161.1400000000001</v>
      </c>
      <c r="P115" s="60">
        <f>N115/M115*100</f>
        <v>50.78191814294439</v>
      </c>
      <c r="Q115" s="60">
        <f>N115-83.3</f>
        <v>82.96</v>
      </c>
      <c r="R115" s="138">
        <f>N115/83.3</f>
        <v>1.9959183673469387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1770.1699999999998</v>
      </c>
      <c r="G117" s="62">
        <f t="shared" si="37"/>
        <v>-1808.7300000000002</v>
      </c>
      <c r="H117" s="72">
        <f t="shared" si="39"/>
        <v>49.46128698762189</v>
      </c>
      <c r="I117" s="61">
        <f t="shared" si="38"/>
        <v>-2169.4300000000003</v>
      </c>
      <c r="J117" s="61">
        <f t="shared" si="40"/>
        <v>44.93273428774495</v>
      </c>
      <c r="K117" s="61">
        <f>F117-3477.6</f>
        <v>-1707.43</v>
      </c>
      <c r="L117" s="139">
        <f>F117/3477.6</f>
        <v>0.5090205889118933</v>
      </c>
      <c r="M117" s="62">
        <f>M115+M116+M114</f>
        <v>349.4000000000001</v>
      </c>
      <c r="N117" s="38">
        <f>SUM(N114:N116)</f>
        <v>188.41</v>
      </c>
      <c r="O117" s="61">
        <f t="shared" si="41"/>
        <v>-160.9900000000001</v>
      </c>
      <c r="P117" s="61">
        <f>N117/M117*100</f>
        <v>53.92386949055522</v>
      </c>
      <c r="Q117" s="61">
        <f>N117-106.6</f>
        <v>81.81</v>
      </c>
      <c r="R117" s="139">
        <f>N117/106.6</f>
        <v>1.7674484052532833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454.67</v>
      </c>
      <c r="G119" s="49">
        <f t="shared" si="37"/>
        <v>194.17000000000002</v>
      </c>
      <c r="H119" s="40">
        <f t="shared" si="39"/>
        <v>174.53742802303262</v>
      </c>
      <c r="I119" s="60">
        <f t="shared" si="38"/>
        <v>187.47000000000003</v>
      </c>
      <c r="J119" s="60">
        <f t="shared" si="40"/>
        <v>170.1609281437126</v>
      </c>
      <c r="K119" s="60">
        <f>F119-237.7</f>
        <v>216.97000000000003</v>
      </c>
      <c r="L119" s="138">
        <f>F119/237.7</f>
        <v>1.9127892301220026</v>
      </c>
      <c r="M119" s="40">
        <f>E119-жовтень!E119</f>
        <v>0</v>
      </c>
      <c r="N119" s="40">
        <f>F119-жовтень!F119</f>
        <v>17.670000000000016</v>
      </c>
      <c r="O119" s="53">
        <f>N119-M119</f>
        <v>17.670000000000016</v>
      </c>
      <c r="P119" s="60" t="e">
        <f>N119/M119*100</f>
        <v>#DIV/0!</v>
      </c>
      <c r="Q119" s="60">
        <f>N119-3.5</f>
        <v>14.170000000000016</v>
      </c>
      <c r="R119" s="138">
        <f>N119/3.5</f>
        <v>5.048571428571433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79317.8</v>
      </c>
      <c r="G120" s="49">
        <f t="shared" si="37"/>
        <v>10605.199999999997</v>
      </c>
      <c r="H120" s="40">
        <f t="shared" si="39"/>
        <v>115.43414162759088</v>
      </c>
      <c r="I120" s="53">
        <f t="shared" si="38"/>
        <v>7341.809999999998</v>
      </c>
      <c r="J120" s="60">
        <f t="shared" si="40"/>
        <v>110.20035987000665</v>
      </c>
      <c r="K120" s="60">
        <f>F120-66794.9</f>
        <v>12522.900000000009</v>
      </c>
      <c r="L120" s="138">
        <f>F120/66794.9</f>
        <v>1.1874828766866934</v>
      </c>
      <c r="M120" s="40">
        <f>E120-жовтень!E120</f>
        <v>8700.000000000007</v>
      </c>
      <c r="N120" s="40">
        <f>F120-жовтень!F120</f>
        <v>11460.520000000004</v>
      </c>
      <c r="O120" s="53">
        <f t="shared" si="41"/>
        <v>2760.519999999997</v>
      </c>
      <c r="P120" s="60">
        <f aca="true" t="shared" si="42" ref="P120:P125">N120/M120*100</f>
        <v>131.73011494252867</v>
      </c>
      <c r="Q120" s="60">
        <f>N120-8604.8</f>
        <v>2855.720000000005</v>
      </c>
      <c r="R120" s="138">
        <f>N120/8604.8</f>
        <v>1.3318752324284127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1921.61</v>
      </c>
      <c r="G121" s="49">
        <f t="shared" si="37"/>
        <v>-1439.5800000000002</v>
      </c>
      <c r="H121" s="40">
        <f t="shared" si="39"/>
        <v>57.17052591492894</v>
      </c>
      <c r="I121" s="60">
        <f t="shared" si="38"/>
        <v>-2828.3900000000003</v>
      </c>
      <c r="J121" s="60">
        <f t="shared" si="40"/>
        <v>40.45494736842105</v>
      </c>
      <c r="K121" s="60">
        <f>F121-1790.1</f>
        <v>131.51</v>
      </c>
      <c r="L121" s="138">
        <f>F121/1790.1</f>
        <v>1.0734651695436008</v>
      </c>
      <c r="M121" s="40">
        <f>E121-жовтень!E121</f>
        <v>161.78999999999996</v>
      </c>
      <c r="N121" s="40">
        <f>F121-жовтень!F121</f>
        <v>166.81999999999994</v>
      </c>
      <c r="O121" s="53">
        <f t="shared" si="41"/>
        <v>5.029999999999973</v>
      </c>
      <c r="P121" s="60">
        <f t="shared" si="42"/>
        <v>103.10896841584768</v>
      </c>
      <c r="Q121" s="60">
        <f>N121-500.5</f>
        <v>-333.68000000000006</v>
      </c>
      <c r="R121" s="138">
        <f>N121/500.5</f>
        <v>0.33330669330669316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3828.89</v>
      </c>
      <c r="G122" s="49">
        <f t="shared" si="37"/>
        <v>-16480.84</v>
      </c>
      <c r="H122" s="40">
        <f t="shared" si="39"/>
        <v>18.852490899682074</v>
      </c>
      <c r="I122" s="60">
        <f t="shared" si="38"/>
        <v>-19248.24</v>
      </c>
      <c r="J122" s="60">
        <f>F122/D122*100</f>
        <v>16.591707894352545</v>
      </c>
      <c r="K122" s="60">
        <f>F122-23492</f>
        <v>-19663.11</v>
      </c>
      <c r="L122" s="138">
        <f>F122/23492</f>
        <v>0.1629869742891197</v>
      </c>
      <c r="M122" s="40">
        <f>E122-жовтень!E122</f>
        <v>2733.5</v>
      </c>
      <c r="N122" s="40">
        <f>F122-жовтень!F122</f>
        <v>1066.79</v>
      </c>
      <c r="O122" s="53">
        <f t="shared" si="41"/>
        <v>-1666.71</v>
      </c>
      <c r="P122" s="60">
        <f t="shared" si="42"/>
        <v>39.026522773001645</v>
      </c>
      <c r="Q122" s="60">
        <f>N122-826.2</f>
        <v>240.58999999999992</v>
      </c>
      <c r="R122" s="138">
        <f>N122/826.2</f>
        <v>1.2912006778019849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2012.55</v>
      </c>
      <c r="G123" s="49">
        <f t="shared" si="37"/>
        <v>202.14999999999986</v>
      </c>
      <c r="H123" s="40">
        <f t="shared" si="39"/>
        <v>111.1660406539991</v>
      </c>
      <c r="I123" s="60">
        <f t="shared" si="38"/>
        <v>12.549999999999955</v>
      </c>
      <c r="J123" s="60">
        <f>F123/D123*100</f>
        <v>100.6275</v>
      </c>
      <c r="K123" s="60">
        <f>F123-1731.9</f>
        <v>280.64999999999986</v>
      </c>
      <c r="L123" s="138">
        <f>F123/1731.9</f>
        <v>1.1620474623246144</v>
      </c>
      <c r="M123" s="40">
        <f>E123-жовтень!E123</f>
        <v>189.59000000000015</v>
      </c>
      <c r="N123" s="40">
        <f>F123-жовтень!F123</f>
        <v>878.53</v>
      </c>
      <c r="O123" s="53">
        <f t="shared" si="41"/>
        <v>688.9399999999998</v>
      </c>
      <c r="P123" s="60">
        <f t="shared" si="42"/>
        <v>463.3841447333716</v>
      </c>
      <c r="Q123" s="60">
        <f>N123-9.2</f>
        <v>869.3299999999999</v>
      </c>
      <c r="R123" s="138">
        <f>N123/9.2</f>
        <v>95.49239130434783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87535.52</v>
      </c>
      <c r="G124" s="62">
        <f t="shared" si="37"/>
        <v>-6918.899999999994</v>
      </c>
      <c r="H124" s="72">
        <f t="shared" si="39"/>
        <v>92.67487958742429</v>
      </c>
      <c r="I124" s="61">
        <f t="shared" si="38"/>
        <v>-14534.800000000003</v>
      </c>
      <c r="J124" s="61">
        <f>F124/D124*100</f>
        <v>85.76001329279657</v>
      </c>
      <c r="K124" s="61">
        <f>F124-94046.5</f>
        <v>-6510.979999999996</v>
      </c>
      <c r="L124" s="139">
        <f>F124/94046.5</f>
        <v>0.9307685028150968</v>
      </c>
      <c r="M124" s="62">
        <f>M120+M121+M122+M123+M119</f>
        <v>11784.880000000008</v>
      </c>
      <c r="N124" s="62">
        <f>N120+N121+N122+N123+N119</f>
        <v>13590.330000000005</v>
      </c>
      <c r="O124" s="61">
        <f t="shared" si="41"/>
        <v>1805.449999999997</v>
      </c>
      <c r="P124" s="61">
        <f t="shared" si="42"/>
        <v>115.32005417110736</v>
      </c>
      <c r="Q124" s="61">
        <f>N124-9944.1</f>
        <v>3646.230000000005</v>
      </c>
      <c r="R124" s="139">
        <f>N124/9944.1</f>
        <v>1.3666727003952097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E125-жовтень!E125</f>
        <v>3.9999999999999964</v>
      </c>
      <c r="N125" s="40">
        <f>F125-жовтень!F125</f>
        <v>0</v>
      </c>
      <c r="O125" s="53">
        <f t="shared" si="41"/>
        <v>-3.9999999999999964</v>
      </c>
      <c r="P125" s="60">
        <f t="shared" si="42"/>
        <v>0</v>
      </c>
      <c r="Q125" s="60">
        <f>N125-0.2</f>
        <v>-0.2</v>
      </c>
      <c r="R125" s="138">
        <f>N125/0.2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E126-жовтень!E126</f>
        <v>0</v>
      </c>
      <c r="N126" s="40">
        <f>F126-жовтень!F126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E127-жовтень!E127</f>
        <v>0</v>
      </c>
      <c r="N127" s="40">
        <f>F127-жовтень!F127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8358.77</v>
      </c>
      <c r="G128" s="49">
        <f aca="true" t="shared" si="43" ref="G128:G135">F128-E128</f>
        <v>-340.22999999999956</v>
      </c>
      <c r="H128" s="40">
        <f>F128/E128*100</f>
        <v>96.08886078859639</v>
      </c>
      <c r="I128" s="60">
        <f aca="true" t="shared" si="44" ref="I128:I135">F128-D128</f>
        <v>-341.22999999999956</v>
      </c>
      <c r="J128" s="60">
        <f>F128/D128*100</f>
        <v>96.07781609195402</v>
      </c>
      <c r="K128" s="60">
        <f>F128-10826.4</f>
        <v>-2467.629999999999</v>
      </c>
      <c r="L128" s="138">
        <f>F128/10826.4</f>
        <v>0.7720728958841352</v>
      </c>
      <c r="M128" s="40">
        <f>E128-жовтень!E128</f>
        <v>1978.5</v>
      </c>
      <c r="N128" s="40">
        <f>F128-жовтень!F128</f>
        <v>979.8100000000004</v>
      </c>
      <c r="O128" s="53">
        <f aca="true" t="shared" si="45" ref="O128:O135">N128-M128</f>
        <v>-998.6899999999996</v>
      </c>
      <c r="P128" s="60">
        <f>N128/M128*100</f>
        <v>49.522870861763984</v>
      </c>
      <c r="Q128" s="60">
        <f>N128-2097.7</f>
        <v>-1117.8899999999994</v>
      </c>
      <c r="R128" s="162">
        <f>N128/2097.7</f>
        <v>0.46708776278781544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1.47</v>
      </c>
      <c r="G129" s="49">
        <f t="shared" si="43"/>
        <v>1.47</v>
      </c>
      <c r="H129" s="40"/>
      <c r="I129" s="60">
        <f t="shared" si="44"/>
        <v>1.47</v>
      </c>
      <c r="J129" s="60"/>
      <c r="K129" s="60">
        <f>F129-0.8</f>
        <v>0.6699999999999999</v>
      </c>
      <c r="L129" s="138">
        <f>F129/0.8</f>
        <v>1.8375</v>
      </c>
      <c r="M129" s="40">
        <f>E129-жовтень!E129</f>
        <v>0</v>
      </c>
      <c r="N129" s="40">
        <f>F129-жовтень!F129</f>
        <v>0.17999999999999994</v>
      </c>
      <c r="O129" s="53">
        <f t="shared" si="45"/>
        <v>0.17999999999999994</v>
      </c>
      <c r="P129" s="60"/>
      <c r="Q129" s="60">
        <f>N129-(-0.3)</f>
        <v>0.4799999999999999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8414.73</v>
      </c>
      <c r="G130" s="62">
        <f t="shared" si="43"/>
        <v>-326.630000000001</v>
      </c>
      <c r="H130" s="72">
        <f>F130/E130*100</f>
        <v>96.26339608481975</v>
      </c>
      <c r="I130" s="61">
        <f t="shared" si="44"/>
        <v>-335.97000000000116</v>
      </c>
      <c r="J130" s="61">
        <f>F130/D130*100</f>
        <v>96.16065000514243</v>
      </c>
      <c r="K130" s="61">
        <f>F130-10959.2</f>
        <v>-2544.470000000001</v>
      </c>
      <c r="L130" s="139">
        <f>G130/10959.2</f>
        <v>-0.02980418278706484</v>
      </c>
      <c r="M130" s="62">
        <f>M125+M128+M129+M127</f>
        <v>1982.5</v>
      </c>
      <c r="N130" s="62">
        <f>N125+N128+N129+N127</f>
        <v>979.9900000000004</v>
      </c>
      <c r="O130" s="61">
        <f t="shared" si="45"/>
        <v>-1002.5099999999996</v>
      </c>
      <c r="P130" s="61">
        <f>N130/M130*100</f>
        <v>49.432030264817165</v>
      </c>
      <c r="Q130" s="61">
        <f>N130-2098.3</f>
        <v>-1118.31</v>
      </c>
      <c r="R130" s="137">
        <f>N130/2098.3</f>
        <v>0.46703998474955927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34.05</v>
      </c>
      <c r="G131" s="49">
        <f>F131-E131</f>
        <v>9.799999999999997</v>
      </c>
      <c r="H131" s="40">
        <f>F131/E131*100</f>
        <v>140.41237113402062</v>
      </c>
      <c r="I131" s="60">
        <f>F131-D131</f>
        <v>4.049999999999997</v>
      </c>
      <c r="J131" s="60">
        <f>F131/D131*100</f>
        <v>113.5</v>
      </c>
      <c r="K131" s="60">
        <f>F131-28.2</f>
        <v>5.849999999999998</v>
      </c>
      <c r="L131" s="138">
        <f>F131/28.2</f>
        <v>1.2074468085106382</v>
      </c>
      <c r="M131" s="40">
        <f>E131-жовтень!E131</f>
        <v>0.3999999999999986</v>
      </c>
      <c r="N131" s="40">
        <f>F131-жовтень!F131</f>
        <v>1.019999999999996</v>
      </c>
      <c r="O131" s="53">
        <f>N131-M131</f>
        <v>0.6199999999999974</v>
      </c>
      <c r="P131" s="60">
        <f>N131/M131*100</f>
        <v>254.9999999999999</v>
      </c>
      <c r="Q131" s="60">
        <f>N131-0.2</f>
        <v>0.8199999999999961</v>
      </c>
      <c r="R131" s="138">
        <f>N131/0.2</f>
        <v>5.09999999999998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E132-жовтень!E132</f>
        <v>0</v>
      </c>
      <c r="N132" s="40">
        <f>F132-жовтень!F132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E133-жовтень!E133</f>
        <v>0</v>
      </c>
      <c r="N133" s="40">
        <f>F133-жовтень!F133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97754.47</v>
      </c>
      <c r="G134" s="50">
        <f t="shared" si="43"/>
        <v>-9044.459999999992</v>
      </c>
      <c r="H134" s="51">
        <f>F134/E134*100</f>
        <v>91.531319648989</v>
      </c>
      <c r="I134" s="36">
        <f t="shared" si="44"/>
        <v>-17036.15000000001</v>
      </c>
      <c r="J134" s="36">
        <f>F134/D134*100</f>
        <v>85.15893546005762</v>
      </c>
      <c r="K134" s="36">
        <f>F134-108511.5</f>
        <v>-10757.029999999999</v>
      </c>
      <c r="L134" s="136">
        <f>F134/108511.5</f>
        <v>0.9008673735041908</v>
      </c>
      <c r="M134" s="31">
        <f>M117+M131+M124+M130+M133+M132</f>
        <v>14117.180000000008</v>
      </c>
      <c r="N134" s="31">
        <f>N117+N131+N124+N130+N133+N132</f>
        <v>14759.750000000005</v>
      </c>
      <c r="O134" s="36">
        <f t="shared" si="45"/>
        <v>642.5699999999979</v>
      </c>
      <c r="P134" s="36">
        <f>N134/M134*100</f>
        <v>104.55168808501413</v>
      </c>
      <c r="Q134" s="36">
        <f>N134-12149.2</f>
        <v>2610.5500000000047</v>
      </c>
      <c r="R134" s="136">
        <f>N134/12149.2</f>
        <v>1.2148742304020022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538398.15</v>
      </c>
      <c r="G135" s="50">
        <f t="shared" si="43"/>
        <v>-14966.009999999893</v>
      </c>
      <c r="H135" s="51">
        <f>F135/E135*100</f>
        <v>97.29545007034791</v>
      </c>
      <c r="I135" s="36">
        <f t="shared" si="44"/>
        <v>-83272.06999999995</v>
      </c>
      <c r="J135" s="36">
        <f>F135/D135*100</f>
        <v>86.6051055171985</v>
      </c>
      <c r="K135" s="36">
        <f>F135-547461.7</f>
        <v>-9063.54999999993</v>
      </c>
      <c r="L135" s="136">
        <f>F135/547461.7</f>
        <v>0.9834444126411036</v>
      </c>
      <c r="M135" s="22">
        <f>M107+M134</f>
        <v>55955.07000000003</v>
      </c>
      <c r="N135" s="22">
        <f>N107+N134</f>
        <v>55833.190000000024</v>
      </c>
      <c r="O135" s="36">
        <f t="shared" si="45"/>
        <v>-121.88000000000466</v>
      </c>
      <c r="P135" s="36">
        <f>N135/M135*100</f>
        <v>99.7821823831156</v>
      </c>
      <c r="Q135" s="36">
        <f>N135-53205.8</f>
        <v>2627.3900000000212</v>
      </c>
      <c r="R135" s="136">
        <f>N135/53205.8</f>
        <v>1.0493816463618633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41971</v>
      </c>
      <c r="D139" s="39">
        <v>5899.1</v>
      </c>
      <c r="N139" s="183"/>
      <c r="O139" s="183"/>
    </row>
    <row r="140" spans="3:15" ht="15.75">
      <c r="C140" s="120">
        <v>41970</v>
      </c>
      <c r="D140" s="39">
        <v>3541.6</v>
      </c>
      <c r="F140" s="4" t="s">
        <v>166</v>
      </c>
      <c r="G140" s="184" t="s">
        <v>151</v>
      </c>
      <c r="H140" s="184"/>
      <c r="I140" s="115">
        <v>8909.73221</v>
      </c>
      <c r="J140" s="181" t="s">
        <v>161</v>
      </c>
      <c r="K140" s="181"/>
      <c r="L140" s="181"/>
      <c r="M140" s="181"/>
      <c r="N140" s="183"/>
      <c r="O140" s="183"/>
    </row>
    <row r="141" spans="3:15" ht="15.75">
      <c r="C141" s="120">
        <v>41969</v>
      </c>
      <c r="D141" s="39">
        <v>1246.3</v>
      </c>
      <c r="G141" s="214" t="s">
        <v>155</v>
      </c>
      <c r="H141" s="214"/>
      <c r="I141" s="112">
        <v>0</v>
      </c>
      <c r="J141" s="215" t="s">
        <v>162</v>
      </c>
      <c r="K141" s="215"/>
      <c r="L141" s="215"/>
      <c r="M141" s="215"/>
      <c r="N141" s="183"/>
      <c r="O141" s="183"/>
    </row>
    <row r="142" spans="7:13" ht="15.75" customHeight="1">
      <c r="G142" s="184" t="s">
        <v>148</v>
      </c>
      <c r="H142" s="184"/>
      <c r="I142" s="112">
        <v>0</v>
      </c>
      <c r="J142" s="181" t="s">
        <v>163</v>
      </c>
      <c r="K142" s="181"/>
      <c r="L142" s="181"/>
      <c r="M142" s="181"/>
    </row>
    <row r="143" spans="2:13" ht="18.75" customHeight="1">
      <c r="B143" s="216" t="s">
        <v>160</v>
      </c>
      <c r="C143" s="217"/>
      <c r="D143" s="117">
        <v>120388.97812999999</v>
      </c>
      <c r="E143" s="80"/>
      <c r="F143" s="100" t="s">
        <v>147</v>
      </c>
      <c r="G143" s="184" t="s">
        <v>149</v>
      </c>
      <c r="H143" s="184"/>
      <c r="I143" s="116">
        <v>111479.24591999999</v>
      </c>
      <c r="J143" s="181" t="s">
        <v>164</v>
      </c>
      <c r="K143" s="181"/>
      <c r="L143" s="181"/>
      <c r="M143" s="181"/>
    </row>
    <row r="144" spans="7:12" ht="9.75" customHeight="1">
      <c r="G144" s="218"/>
      <c r="H144" s="218"/>
      <c r="I144" s="98"/>
      <c r="J144" s="99"/>
      <c r="K144" s="99"/>
      <c r="L144" s="99"/>
    </row>
    <row r="145" spans="2:12" ht="22.5" customHeight="1">
      <c r="B145" s="219" t="s">
        <v>169</v>
      </c>
      <c r="C145" s="220"/>
      <c r="D145" s="119">
        <v>11457.696189999997</v>
      </c>
      <c r="E145" s="77" t="s">
        <v>104</v>
      </c>
      <c r="G145" s="218"/>
      <c r="H145" s="218"/>
      <c r="I145" s="98"/>
      <c r="J145" s="99"/>
      <c r="K145" s="99"/>
      <c r="L145" s="99"/>
    </row>
    <row r="146" spans="4:15" ht="15.75">
      <c r="D146" s="114"/>
      <c r="N146" s="218"/>
      <c r="O146" s="218"/>
    </row>
    <row r="147" spans="4:15" ht="15.75">
      <c r="D147" s="113"/>
      <c r="I147" s="39"/>
      <c r="N147" s="221"/>
      <c r="O147" s="221"/>
    </row>
    <row r="148" spans="14:15" ht="15.75">
      <c r="N148" s="218"/>
      <c r="O148" s="218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50" sqref="D15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5" t="s">
        <v>288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26"/>
      <c r="R1" s="127"/>
    </row>
    <row r="2" spans="2:18" s="1" customFormat="1" ht="15.75" customHeight="1">
      <c r="B2" s="186"/>
      <c r="C2" s="186"/>
      <c r="D2" s="18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7"/>
      <c r="B3" s="189"/>
      <c r="C3" s="190" t="s">
        <v>0</v>
      </c>
      <c r="D3" s="191" t="s">
        <v>224</v>
      </c>
      <c r="E3" s="191"/>
      <c r="F3" s="192" t="s">
        <v>107</v>
      </c>
      <c r="G3" s="193"/>
      <c r="H3" s="193"/>
      <c r="I3" s="193"/>
      <c r="J3" s="193"/>
      <c r="K3" s="193"/>
      <c r="L3" s="194"/>
      <c r="M3" s="195" t="s">
        <v>225</v>
      </c>
      <c r="N3" s="197" t="s">
        <v>282</v>
      </c>
      <c r="O3" s="197"/>
      <c r="P3" s="197"/>
      <c r="Q3" s="197"/>
      <c r="R3" s="197"/>
    </row>
    <row r="4" spans="1:18" ht="22.5" customHeight="1">
      <c r="A4" s="187"/>
      <c r="B4" s="189"/>
      <c r="C4" s="190"/>
      <c r="D4" s="191"/>
      <c r="E4" s="191"/>
      <c r="F4" s="198" t="s">
        <v>116</v>
      </c>
      <c r="G4" s="200" t="s">
        <v>279</v>
      </c>
      <c r="H4" s="202" t="s">
        <v>280</v>
      </c>
      <c r="I4" s="204" t="s">
        <v>188</v>
      </c>
      <c r="J4" s="206" t="s">
        <v>189</v>
      </c>
      <c r="K4" s="208" t="s">
        <v>285</v>
      </c>
      <c r="L4" s="209"/>
      <c r="M4" s="196"/>
      <c r="N4" s="212" t="s">
        <v>289</v>
      </c>
      <c r="O4" s="204" t="s">
        <v>136</v>
      </c>
      <c r="P4" s="204" t="s">
        <v>135</v>
      </c>
      <c r="Q4" s="208" t="s">
        <v>287</v>
      </c>
      <c r="R4" s="209"/>
    </row>
    <row r="5" spans="1:18" ht="82.5" customHeight="1">
      <c r="A5" s="188"/>
      <c r="B5" s="189"/>
      <c r="C5" s="190"/>
      <c r="D5" s="150" t="s">
        <v>209</v>
      </c>
      <c r="E5" s="158" t="s">
        <v>278</v>
      </c>
      <c r="F5" s="199"/>
      <c r="G5" s="201"/>
      <c r="H5" s="203"/>
      <c r="I5" s="205"/>
      <c r="J5" s="207"/>
      <c r="K5" s="210"/>
      <c r="L5" s="211"/>
      <c r="M5" s="151" t="s">
        <v>281</v>
      </c>
      <c r="N5" s="213"/>
      <c r="O5" s="205"/>
      <c r="P5" s="205"/>
      <c r="Q5" s="210"/>
      <c r="R5" s="21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838.5</v>
      </c>
      <c r="G102" s="144"/>
      <c r="H102" s="146"/>
      <c r="I102" s="145"/>
      <c r="J102" s="145"/>
      <c r="K102" s="148">
        <f>F102-647.5</f>
        <v>191</v>
      </c>
      <c r="L102" s="149">
        <f>F102/647.5</f>
        <v>1.294980694980695</v>
      </c>
      <c r="M102" s="40">
        <f>E102-вересень!E102</f>
        <v>0</v>
      </c>
      <c r="N102" s="40">
        <f>F102-вересень!F102</f>
        <v>80.10000000000002</v>
      </c>
      <c r="O102" s="53"/>
      <c r="P102" s="60"/>
      <c r="Q102" s="60">
        <f>N102-103.3</f>
        <v>-23.199999999999974</v>
      </c>
      <c r="R102" s="138">
        <f>N102/103.3</f>
        <v>0.7754114230396905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83"/>
      <c r="O139" s="183"/>
    </row>
    <row r="140" spans="3:15" ht="15.75">
      <c r="C140" s="120">
        <v>41942</v>
      </c>
      <c r="D140" s="39">
        <v>4208.5</v>
      </c>
      <c r="F140" s="4" t="s">
        <v>166</v>
      </c>
      <c r="G140" s="184" t="s">
        <v>151</v>
      </c>
      <c r="H140" s="184"/>
      <c r="I140" s="115">
        <v>9020.6</v>
      </c>
      <c r="J140" s="181" t="s">
        <v>161</v>
      </c>
      <c r="K140" s="181"/>
      <c r="L140" s="181"/>
      <c r="M140" s="181"/>
      <c r="N140" s="183"/>
      <c r="O140" s="183"/>
    </row>
    <row r="141" spans="3:15" ht="15.75">
      <c r="C141" s="120">
        <v>41941</v>
      </c>
      <c r="D141" s="39">
        <v>2987.3</v>
      </c>
      <c r="G141" s="214" t="s">
        <v>155</v>
      </c>
      <c r="H141" s="214"/>
      <c r="I141" s="112">
        <v>0</v>
      </c>
      <c r="J141" s="215" t="s">
        <v>162</v>
      </c>
      <c r="K141" s="215"/>
      <c r="L141" s="215"/>
      <c r="M141" s="215"/>
      <c r="N141" s="183"/>
      <c r="O141" s="183"/>
    </row>
    <row r="142" spans="7:13" ht="15.75" customHeight="1">
      <c r="G142" s="184" t="s">
        <v>148</v>
      </c>
      <c r="H142" s="184"/>
      <c r="I142" s="112">
        <v>0</v>
      </c>
      <c r="J142" s="181" t="s">
        <v>163</v>
      </c>
      <c r="K142" s="181"/>
      <c r="L142" s="181"/>
      <c r="M142" s="181"/>
    </row>
    <row r="143" spans="2:13" ht="18.75" customHeight="1">
      <c r="B143" s="216" t="s">
        <v>160</v>
      </c>
      <c r="C143" s="217"/>
      <c r="D143" s="117">
        <v>116647.51</v>
      </c>
      <c r="E143" s="80"/>
      <c r="F143" s="100" t="s">
        <v>147</v>
      </c>
      <c r="G143" s="184" t="s">
        <v>149</v>
      </c>
      <c r="H143" s="184"/>
      <c r="I143" s="116">
        <v>107626.91</v>
      </c>
      <c r="J143" s="181" t="s">
        <v>164</v>
      </c>
      <c r="K143" s="181"/>
      <c r="L143" s="181"/>
      <c r="M143" s="181"/>
    </row>
    <row r="144" spans="7:12" ht="9.75" customHeight="1">
      <c r="G144" s="218"/>
      <c r="H144" s="218"/>
      <c r="I144" s="98"/>
      <c r="J144" s="99"/>
      <c r="K144" s="99"/>
      <c r="L144" s="99"/>
    </row>
    <row r="145" spans="2:12" ht="22.5" customHeight="1">
      <c r="B145" s="219" t="s">
        <v>169</v>
      </c>
      <c r="C145" s="220"/>
      <c r="D145" s="119">
        <v>16930.7</v>
      </c>
      <c r="E145" s="77" t="s">
        <v>104</v>
      </c>
      <c r="G145" s="218"/>
      <c r="H145" s="218"/>
      <c r="I145" s="98"/>
      <c r="J145" s="99"/>
      <c r="K145" s="99"/>
      <c r="L145" s="99"/>
    </row>
    <row r="146" spans="4:15" ht="15.75">
      <c r="D146" s="114"/>
      <c r="N146" s="218"/>
      <c r="O146" s="218"/>
    </row>
    <row r="147" spans="4:15" ht="15.75">
      <c r="D147" s="113"/>
      <c r="I147" s="39"/>
      <c r="N147" s="221"/>
      <c r="O147" s="221"/>
    </row>
    <row r="148" spans="14:15" ht="15.75">
      <c r="N148" s="218"/>
      <c r="O148" s="218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5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26"/>
      <c r="R1" s="127"/>
    </row>
    <row r="2" spans="2:18" s="1" customFormat="1" ht="15.75" customHeight="1">
      <c r="B2" s="186"/>
      <c r="C2" s="186"/>
      <c r="D2" s="18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7"/>
      <c r="B3" s="189"/>
      <c r="C3" s="190" t="s">
        <v>0</v>
      </c>
      <c r="D3" s="191" t="s">
        <v>224</v>
      </c>
      <c r="E3" s="191"/>
      <c r="F3" s="192" t="s">
        <v>107</v>
      </c>
      <c r="G3" s="193"/>
      <c r="H3" s="193"/>
      <c r="I3" s="193"/>
      <c r="J3" s="193"/>
      <c r="K3" s="193"/>
      <c r="L3" s="194"/>
      <c r="M3" s="195" t="s">
        <v>225</v>
      </c>
      <c r="N3" s="197" t="s">
        <v>272</v>
      </c>
      <c r="O3" s="197"/>
      <c r="P3" s="197"/>
      <c r="Q3" s="197"/>
      <c r="R3" s="197"/>
    </row>
    <row r="4" spans="1:18" ht="22.5" customHeight="1">
      <c r="A4" s="187"/>
      <c r="B4" s="189"/>
      <c r="C4" s="190"/>
      <c r="D4" s="191"/>
      <c r="E4" s="191"/>
      <c r="F4" s="198" t="s">
        <v>116</v>
      </c>
      <c r="G4" s="200" t="s">
        <v>269</v>
      </c>
      <c r="H4" s="202" t="s">
        <v>270</v>
      </c>
      <c r="I4" s="204" t="s">
        <v>188</v>
      </c>
      <c r="J4" s="206" t="s">
        <v>189</v>
      </c>
      <c r="K4" s="208" t="s">
        <v>274</v>
      </c>
      <c r="L4" s="209"/>
      <c r="M4" s="196"/>
      <c r="N4" s="212" t="s">
        <v>277</v>
      </c>
      <c r="O4" s="204" t="s">
        <v>136</v>
      </c>
      <c r="P4" s="204" t="s">
        <v>135</v>
      </c>
      <c r="Q4" s="208" t="s">
        <v>275</v>
      </c>
      <c r="R4" s="209"/>
    </row>
    <row r="5" spans="1:18" ht="82.5" customHeight="1">
      <c r="A5" s="188"/>
      <c r="B5" s="189"/>
      <c r="C5" s="190"/>
      <c r="D5" s="150" t="s">
        <v>209</v>
      </c>
      <c r="E5" s="158" t="s">
        <v>268</v>
      </c>
      <c r="F5" s="199"/>
      <c r="G5" s="201"/>
      <c r="H5" s="203"/>
      <c r="I5" s="205"/>
      <c r="J5" s="207"/>
      <c r="K5" s="210"/>
      <c r="L5" s="211"/>
      <c r="M5" s="151" t="s">
        <v>271</v>
      </c>
      <c r="N5" s="213"/>
      <c r="O5" s="205"/>
      <c r="P5" s="205"/>
      <c r="Q5" s="210"/>
      <c r="R5" s="21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83"/>
      <c r="O139" s="183"/>
    </row>
    <row r="140" spans="3:15" ht="15.75">
      <c r="C140" s="120">
        <v>41911</v>
      </c>
      <c r="D140" s="39">
        <v>4937.4</v>
      </c>
      <c r="F140" s="4" t="s">
        <v>166</v>
      </c>
      <c r="G140" s="184" t="s">
        <v>151</v>
      </c>
      <c r="H140" s="184"/>
      <c r="I140" s="115">
        <f>9020596.53/1000</f>
        <v>9020.596529999999</v>
      </c>
      <c r="J140" s="181" t="s">
        <v>161</v>
      </c>
      <c r="K140" s="181"/>
      <c r="L140" s="181"/>
      <c r="M140" s="181"/>
      <c r="N140" s="183"/>
      <c r="O140" s="183"/>
    </row>
    <row r="141" spans="3:15" ht="15.75">
      <c r="C141" s="120">
        <v>41908</v>
      </c>
      <c r="D141" s="39">
        <v>1468</v>
      </c>
      <c r="G141" s="214" t="s">
        <v>155</v>
      </c>
      <c r="H141" s="214"/>
      <c r="I141" s="112">
        <v>0</v>
      </c>
      <c r="J141" s="215" t="s">
        <v>162</v>
      </c>
      <c r="K141" s="215"/>
      <c r="L141" s="215"/>
      <c r="M141" s="215"/>
      <c r="N141" s="183"/>
      <c r="O141" s="183"/>
    </row>
    <row r="142" spans="7:13" ht="15.75" customHeight="1">
      <c r="G142" s="184" t="s">
        <v>148</v>
      </c>
      <c r="H142" s="184"/>
      <c r="I142" s="112">
        <v>0</v>
      </c>
      <c r="J142" s="181" t="s">
        <v>163</v>
      </c>
      <c r="K142" s="181"/>
      <c r="L142" s="181"/>
      <c r="M142" s="181"/>
    </row>
    <row r="143" spans="2:13" ht="18.75" customHeight="1">
      <c r="B143" s="216" t="s">
        <v>160</v>
      </c>
      <c r="C143" s="217"/>
      <c r="D143" s="117">
        <f>121201109.21/1000</f>
        <v>121201.10921</v>
      </c>
      <c r="E143" s="80"/>
      <c r="F143" s="100" t="s">
        <v>147</v>
      </c>
      <c r="G143" s="184" t="s">
        <v>149</v>
      </c>
      <c r="H143" s="184"/>
      <c r="I143" s="116">
        <f>112180512.68/1000</f>
        <v>112180.51268000001</v>
      </c>
      <c r="J143" s="181" t="s">
        <v>164</v>
      </c>
      <c r="K143" s="181"/>
      <c r="L143" s="181"/>
      <c r="M143" s="181"/>
    </row>
    <row r="144" spans="7:12" ht="9.75" customHeight="1">
      <c r="G144" s="218"/>
      <c r="H144" s="218"/>
      <c r="I144" s="98"/>
      <c r="J144" s="99"/>
      <c r="K144" s="99"/>
      <c r="L144" s="99"/>
    </row>
    <row r="145" spans="2:12" ht="22.5" customHeight="1">
      <c r="B145" s="219" t="s">
        <v>169</v>
      </c>
      <c r="C145" s="220"/>
      <c r="D145" s="119">
        <f>17426016.57/1000</f>
        <v>17426.01657</v>
      </c>
      <c r="E145" s="77" t="s">
        <v>104</v>
      </c>
      <c r="G145" s="218"/>
      <c r="H145" s="218"/>
      <c r="I145" s="98"/>
      <c r="J145" s="99"/>
      <c r="K145" s="99"/>
      <c r="L145" s="99"/>
    </row>
    <row r="146" spans="4:15" ht="15.75">
      <c r="D146" s="114"/>
      <c r="N146" s="218"/>
      <c r="O146" s="218"/>
    </row>
    <row r="147" spans="4:15" ht="15.75">
      <c r="D147" s="113"/>
      <c r="I147" s="39"/>
      <c r="N147" s="221"/>
      <c r="O147" s="221"/>
    </row>
    <row r="148" spans="14:15" ht="15.75">
      <c r="N148" s="218"/>
      <c r="O148" s="218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5" t="s">
        <v>266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26"/>
      <c r="R1" s="127"/>
    </row>
    <row r="2" spans="2:18" s="1" customFormat="1" ht="15.75" customHeight="1">
      <c r="B2" s="186"/>
      <c r="C2" s="186"/>
      <c r="D2" s="18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7"/>
      <c r="B3" s="189"/>
      <c r="C3" s="190" t="s">
        <v>0</v>
      </c>
      <c r="D3" s="191" t="s">
        <v>224</v>
      </c>
      <c r="E3" s="191"/>
      <c r="F3" s="192" t="s">
        <v>107</v>
      </c>
      <c r="G3" s="193"/>
      <c r="H3" s="193"/>
      <c r="I3" s="193"/>
      <c r="J3" s="193"/>
      <c r="K3" s="193"/>
      <c r="L3" s="194"/>
      <c r="M3" s="195" t="s">
        <v>225</v>
      </c>
      <c r="N3" s="197" t="s">
        <v>261</v>
      </c>
      <c r="O3" s="197"/>
      <c r="P3" s="197"/>
      <c r="Q3" s="197"/>
      <c r="R3" s="197"/>
    </row>
    <row r="4" spans="1:18" ht="22.5" customHeight="1">
      <c r="A4" s="187"/>
      <c r="B4" s="189"/>
      <c r="C4" s="190"/>
      <c r="D4" s="191"/>
      <c r="E4" s="191"/>
      <c r="F4" s="198" t="s">
        <v>116</v>
      </c>
      <c r="G4" s="200" t="s">
        <v>259</v>
      </c>
      <c r="H4" s="202" t="s">
        <v>260</v>
      </c>
      <c r="I4" s="204" t="s">
        <v>188</v>
      </c>
      <c r="J4" s="206" t="s">
        <v>189</v>
      </c>
      <c r="K4" s="208" t="s">
        <v>264</v>
      </c>
      <c r="L4" s="209"/>
      <c r="M4" s="196"/>
      <c r="N4" s="212" t="s">
        <v>267</v>
      </c>
      <c r="O4" s="204" t="s">
        <v>136</v>
      </c>
      <c r="P4" s="204" t="s">
        <v>135</v>
      </c>
      <c r="Q4" s="208" t="s">
        <v>265</v>
      </c>
      <c r="R4" s="209"/>
    </row>
    <row r="5" spans="1:18" ht="82.5" customHeight="1">
      <c r="A5" s="188"/>
      <c r="B5" s="189"/>
      <c r="C5" s="190"/>
      <c r="D5" s="150" t="s">
        <v>209</v>
      </c>
      <c r="E5" s="158" t="s">
        <v>258</v>
      </c>
      <c r="F5" s="199"/>
      <c r="G5" s="201"/>
      <c r="H5" s="203"/>
      <c r="I5" s="205"/>
      <c r="J5" s="207"/>
      <c r="K5" s="210"/>
      <c r="L5" s="211"/>
      <c r="M5" s="151" t="s">
        <v>262</v>
      </c>
      <c r="N5" s="213"/>
      <c r="O5" s="205"/>
      <c r="P5" s="205"/>
      <c r="Q5" s="210"/>
      <c r="R5" s="21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83"/>
      <c r="O139" s="183"/>
    </row>
    <row r="140" spans="3:15" ht="15.75">
      <c r="C140" s="120">
        <v>41879</v>
      </c>
      <c r="D140" s="39">
        <v>3653.6</v>
      </c>
      <c r="F140" s="4" t="s">
        <v>166</v>
      </c>
      <c r="G140" s="184" t="s">
        <v>151</v>
      </c>
      <c r="H140" s="184"/>
      <c r="I140" s="115">
        <v>13829.857960000001</v>
      </c>
      <c r="J140" s="181" t="s">
        <v>161</v>
      </c>
      <c r="K140" s="181"/>
      <c r="L140" s="181"/>
      <c r="M140" s="181"/>
      <c r="N140" s="183"/>
      <c r="O140" s="183"/>
    </row>
    <row r="141" spans="3:15" ht="15.75">
      <c r="C141" s="120">
        <v>41878</v>
      </c>
      <c r="D141" s="39">
        <v>1194.3</v>
      </c>
      <c r="G141" s="214" t="s">
        <v>155</v>
      </c>
      <c r="H141" s="214"/>
      <c r="I141" s="112">
        <v>0</v>
      </c>
      <c r="J141" s="215" t="s">
        <v>162</v>
      </c>
      <c r="K141" s="215"/>
      <c r="L141" s="215"/>
      <c r="M141" s="215"/>
      <c r="N141" s="183"/>
      <c r="O141" s="183"/>
    </row>
    <row r="142" spans="7:13" ht="15.75" customHeight="1">
      <c r="G142" s="184" t="s">
        <v>148</v>
      </c>
      <c r="H142" s="184"/>
      <c r="I142" s="112">
        <v>0</v>
      </c>
      <c r="J142" s="181" t="s">
        <v>163</v>
      </c>
      <c r="K142" s="181"/>
      <c r="L142" s="181"/>
      <c r="M142" s="181"/>
    </row>
    <row r="143" spans="2:13" ht="18.75" customHeight="1">
      <c r="B143" s="216" t="s">
        <v>160</v>
      </c>
      <c r="C143" s="217"/>
      <c r="D143" s="117">
        <v>127799.14</v>
      </c>
      <c r="E143" s="80"/>
      <c r="F143" s="100" t="s">
        <v>147</v>
      </c>
      <c r="G143" s="184" t="s">
        <v>149</v>
      </c>
      <c r="H143" s="184"/>
      <c r="I143" s="116">
        <v>113969.28</v>
      </c>
      <c r="J143" s="181" t="s">
        <v>164</v>
      </c>
      <c r="K143" s="181"/>
      <c r="L143" s="181"/>
      <c r="M143" s="181"/>
    </row>
    <row r="144" spans="7:12" ht="9.75" customHeight="1">
      <c r="G144" s="218"/>
      <c r="H144" s="218"/>
      <c r="I144" s="98"/>
      <c r="J144" s="99"/>
      <c r="K144" s="99"/>
      <c r="L144" s="99"/>
    </row>
    <row r="145" spans="2:12" ht="22.5" customHeight="1">
      <c r="B145" s="219" t="s">
        <v>169</v>
      </c>
      <c r="C145" s="220"/>
      <c r="D145" s="119">
        <v>18493.9</v>
      </c>
      <c r="E145" s="77" t="s">
        <v>104</v>
      </c>
      <c r="G145" s="218"/>
      <c r="H145" s="218"/>
      <c r="I145" s="98"/>
      <c r="J145" s="99"/>
      <c r="K145" s="99"/>
      <c r="L145" s="99"/>
    </row>
    <row r="146" spans="4:15" ht="15.75">
      <c r="D146" s="114"/>
      <c r="N146" s="218"/>
      <c r="O146" s="218"/>
    </row>
    <row r="147" spans="4:15" ht="15.75">
      <c r="D147" s="113"/>
      <c r="I147" s="39"/>
      <c r="N147" s="221"/>
      <c r="O147" s="221"/>
    </row>
    <row r="148" spans="14:15" ht="15.75">
      <c r="N148" s="218"/>
      <c r="O148" s="218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5" t="s">
        <v>256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26"/>
      <c r="R1" s="127"/>
    </row>
    <row r="2" spans="2:18" s="1" customFormat="1" ht="15.75" customHeight="1">
      <c r="B2" s="186"/>
      <c r="C2" s="186"/>
      <c r="D2" s="18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7"/>
      <c r="B3" s="189"/>
      <c r="C3" s="190" t="s">
        <v>0</v>
      </c>
      <c r="D3" s="191" t="s">
        <v>224</v>
      </c>
      <c r="E3" s="191"/>
      <c r="F3" s="192" t="s">
        <v>107</v>
      </c>
      <c r="G3" s="193"/>
      <c r="H3" s="193"/>
      <c r="I3" s="193"/>
      <c r="J3" s="193"/>
      <c r="K3" s="193"/>
      <c r="L3" s="194"/>
      <c r="M3" s="195" t="s">
        <v>225</v>
      </c>
      <c r="N3" s="197" t="s">
        <v>252</v>
      </c>
      <c r="O3" s="197"/>
      <c r="P3" s="197"/>
      <c r="Q3" s="197"/>
      <c r="R3" s="197"/>
    </row>
    <row r="4" spans="1:18" ht="22.5" customHeight="1">
      <c r="A4" s="187"/>
      <c r="B4" s="189"/>
      <c r="C4" s="190"/>
      <c r="D4" s="191"/>
      <c r="E4" s="191"/>
      <c r="F4" s="198" t="s">
        <v>116</v>
      </c>
      <c r="G4" s="200" t="s">
        <v>249</v>
      </c>
      <c r="H4" s="202" t="s">
        <v>250</v>
      </c>
      <c r="I4" s="204" t="s">
        <v>188</v>
      </c>
      <c r="J4" s="206" t="s">
        <v>189</v>
      </c>
      <c r="K4" s="208" t="s">
        <v>254</v>
      </c>
      <c r="L4" s="209"/>
      <c r="M4" s="196"/>
      <c r="N4" s="212" t="s">
        <v>257</v>
      </c>
      <c r="O4" s="204" t="s">
        <v>136</v>
      </c>
      <c r="P4" s="204" t="s">
        <v>135</v>
      </c>
      <c r="Q4" s="208" t="s">
        <v>255</v>
      </c>
      <c r="R4" s="209"/>
    </row>
    <row r="5" spans="1:18" ht="82.5" customHeight="1">
      <c r="A5" s="188"/>
      <c r="B5" s="189"/>
      <c r="C5" s="190"/>
      <c r="D5" s="150" t="s">
        <v>209</v>
      </c>
      <c r="E5" s="158" t="s">
        <v>248</v>
      </c>
      <c r="F5" s="199"/>
      <c r="G5" s="201"/>
      <c r="H5" s="203"/>
      <c r="I5" s="205"/>
      <c r="J5" s="207"/>
      <c r="K5" s="210"/>
      <c r="L5" s="211"/>
      <c r="M5" s="151" t="s">
        <v>251</v>
      </c>
      <c r="N5" s="213"/>
      <c r="O5" s="205"/>
      <c r="P5" s="205"/>
      <c r="Q5" s="210"/>
      <c r="R5" s="21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83"/>
      <c r="O139" s="183"/>
    </row>
    <row r="140" spans="3:15" ht="15.75">
      <c r="C140" s="120">
        <v>41850</v>
      </c>
      <c r="D140" s="39">
        <v>4320</v>
      </c>
      <c r="F140" s="4" t="s">
        <v>166</v>
      </c>
      <c r="G140" s="184" t="s">
        <v>151</v>
      </c>
      <c r="H140" s="184"/>
      <c r="I140" s="115">
        <f>13825221.96/1000</f>
        <v>13825.22196</v>
      </c>
      <c r="J140" s="181" t="s">
        <v>161</v>
      </c>
      <c r="K140" s="181"/>
      <c r="L140" s="181"/>
      <c r="M140" s="181"/>
      <c r="N140" s="183"/>
      <c r="O140" s="183"/>
    </row>
    <row r="141" spans="3:15" ht="15.75">
      <c r="C141" s="120">
        <v>41849</v>
      </c>
      <c r="D141" s="39">
        <v>4403.7</v>
      </c>
      <c r="G141" s="214" t="s">
        <v>155</v>
      </c>
      <c r="H141" s="214"/>
      <c r="I141" s="112">
        <v>0</v>
      </c>
      <c r="J141" s="215" t="s">
        <v>162</v>
      </c>
      <c r="K141" s="215"/>
      <c r="L141" s="215"/>
      <c r="M141" s="215"/>
      <c r="N141" s="183"/>
      <c r="O141" s="183"/>
    </row>
    <row r="142" spans="7:13" ht="15.75" customHeight="1">
      <c r="G142" s="184" t="s">
        <v>148</v>
      </c>
      <c r="H142" s="184"/>
      <c r="I142" s="112">
        <f>'[1]залишки  (2)'!$G$8/1000</f>
        <v>0</v>
      </c>
      <c r="J142" s="181" t="s">
        <v>163</v>
      </c>
      <c r="K142" s="181"/>
      <c r="L142" s="181"/>
      <c r="M142" s="181"/>
    </row>
    <row r="143" spans="2:13" ht="18.75" customHeight="1">
      <c r="B143" s="216" t="s">
        <v>160</v>
      </c>
      <c r="C143" s="217"/>
      <c r="D143" s="117">
        <f>120856761.09/1000</f>
        <v>120856.76109</v>
      </c>
      <c r="E143" s="80"/>
      <c r="F143" s="100" t="s">
        <v>147</v>
      </c>
      <c r="G143" s="184" t="s">
        <v>149</v>
      </c>
      <c r="H143" s="184"/>
      <c r="I143" s="116">
        <f>107031539.13/1000</f>
        <v>107031.53912999999</v>
      </c>
      <c r="J143" s="181" t="s">
        <v>164</v>
      </c>
      <c r="K143" s="181"/>
      <c r="L143" s="181"/>
      <c r="M143" s="181"/>
    </row>
    <row r="144" spans="7:12" ht="9.75" customHeight="1">
      <c r="G144" s="218"/>
      <c r="H144" s="218"/>
      <c r="I144" s="98"/>
      <c r="J144" s="99"/>
      <c r="K144" s="99"/>
      <c r="L144" s="99"/>
    </row>
    <row r="145" spans="2:12" ht="22.5" customHeight="1">
      <c r="B145" s="219" t="s">
        <v>169</v>
      </c>
      <c r="C145" s="220"/>
      <c r="D145" s="119">
        <f>26199804.73/1000</f>
        <v>26199.80473</v>
      </c>
      <c r="E145" s="77" t="s">
        <v>104</v>
      </c>
      <c r="G145" s="218"/>
      <c r="H145" s="218"/>
      <c r="I145" s="98"/>
      <c r="J145" s="99"/>
      <c r="K145" s="99"/>
      <c r="L145" s="99"/>
    </row>
    <row r="146" spans="4:15" ht="15.75">
      <c r="D146" s="114"/>
      <c r="N146" s="218"/>
      <c r="O146" s="218"/>
    </row>
    <row r="147" spans="4:15" ht="15.75">
      <c r="D147" s="113"/>
      <c r="I147" s="39"/>
      <c r="N147" s="221"/>
      <c r="O147" s="221"/>
    </row>
    <row r="148" spans="14:15" ht="15.75">
      <c r="N148" s="218"/>
      <c r="O148" s="218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5" t="s">
        <v>246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26"/>
      <c r="R1" s="127"/>
    </row>
    <row r="2" spans="2:18" s="1" customFormat="1" ht="15.75" customHeight="1">
      <c r="B2" s="186"/>
      <c r="C2" s="186"/>
      <c r="D2" s="18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7"/>
      <c r="B3" s="189"/>
      <c r="C3" s="190" t="s">
        <v>0</v>
      </c>
      <c r="D3" s="191" t="s">
        <v>224</v>
      </c>
      <c r="E3" s="191"/>
      <c r="F3" s="192" t="s">
        <v>107</v>
      </c>
      <c r="G3" s="193"/>
      <c r="H3" s="193"/>
      <c r="I3" s="193"/>
      <c r="J3" s="193"/>
      <c r="K3" s="193"/>
      <c r="L3" s="194"/>
      <c r="M3" s="195" t="s">
        <v>225</v>
      </c>
      <c r="N3" s="197" t="s">
        <v>243</v>
      </c>
      <c r="O3" s="197"/>
      <c r="P3" s="197"/>
      <c r="Q3" s="197"/>
      <c r="R3" s="197"/>
    </row>
    <row r="4" spans="1:18" ht="22.5" customHeight="1">
      <c r="A4" s="187"/>
      <c r="B4" s="189"/>
      <c r="C4" s="190"/>
      <c r="D4" s="191"/>
      <c r="E4" s="191"/>
      <c r="F4" s="198" t="s">
        <v>116</v>
      </c>
      <c r="G4" s="200" t="s">
        <v>238</v>
      </c>
      <c r="H4" s="202" t="s">
        <v>239</v>
      </c>
      <c r="I4" s="204" t="s">
        <v>188</v>
      </c>
      <c r="J4" s="206" t="s">
        <v>189</v>
      </c>
      <c r="K4" s="208" t="s">
        <v>240</v>
      </c>
      <c r="L4" s="209"/>
      <c r="M4" s="196"/>
      <c r="N4" s="212" t="s">
        <v>247</v>
      </c>
      <c r="O4" s="204" t="s">
        <v>136</v>
      </c>
      <c r="P4" s="204" t="s">
        <v>135</v>
      </c>
      <c r="Q4" s="208" t="s">
        <v>242</v>
      </c>
      <c r="R4" s="209"/>
    </row>
    <row r="5" spans="1:18" ht="82.5" customHeight="1">
      <c r="A5" s="188"/>
      <c r="B5" s="189"/>
      <c r="C5" s="190"/>
      <c r="D5" s="150" t="s">
        <v>209</v>
      </c>
      <c r="E5" s="158" t="s">
        <v>237</v>
      </c>
      <c r="F5" s="199"/>
      <c r="G5" s="201"/>
      <c r="H5" s="203"/>
      <c r="I5" s="205"/>
      <c r="J5" s="207"/>
      <c r="K5" s="210"/>
      <c r="L5" s="211"/>
      <c r="M5" s="151" t="s">
        <v>241</v>
      </c>
      <c r="N5" s="213"/>
      <c r="O5" s="205"/>
      <c r="P5" s="205"/>
      <c r="Q5" s="210"/>
      <c r="R5" s="21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83"/>
      <c r="O139" s="183"/>
    </row>
    <row r="140" spans="3:15" ht="15.75">
      <c r="C140" s="120">
        <v>41816</v>
      </c>
      <c r="D140" s="39">
        <v>4277.2</v>
      </c>
      <c r="F140" s="4" t="s">
        <v>166</v>
      </c>
      <c r="G140" s="184" t="s">
        <v>151</v>
      </c>
      <c r="H140" s="184"/>
      <c r="I140" s="115">
        <f>'[1]залишки  (2)'!$G$9/1000</f>
        <v>8909.73221</v>
      </c>
      <c r="J140" s="181" t="s">
        <v>161</v>
      </c>
      <c r="K140" s="181"/>
      <c r="L140" s="181"/>
      <c r="M140" s="181"/>
      <c r="N140" s="183"/>
      <c r="O140" s="183"/>
    </row>
    <row r="141" spans="3:15" ht="15.75">
      <c r="C141" s="120">
        <v>41815</v>
      </c>
      <c r="D141" s="39">
        <v>1877.7</v>
      </c>
      <c r="G141" s="214" t="s">
        <v>155</v>
      </c>
      <c r="H141" s="214"/>
      <c r="I141" s="112">
        <v>0</v>
      </c>
      <c r="J141" s="215" t="s">
        <v>162</v>
      </c>
      <c r="K141" s="215"/>
      <c r="L141" s="215"/>
      <c r="M141" s="215"/>
      <c r="N141" s="183"/>
      <c r="O141" s="183"/>
    </row>
    <row r="142" spans="7:13" ht="15.75" customHeight="1">
      <c r="G142" s="184" t="s">
        <v>148</v>
      </c>
      <c r="H142" s="184"/>
      <c r="I142" s="112">
        <f>'[1]залишки  (2)'!$G$8/1000</f>
        <v>0</v>
      </c>
      <c r="J142" s="181" t="s">
        <v>163</v>
      </c>
      <c r="K142" s="181"/>
      <c r="L142" s="181"/>
      <c r="M142" s="181"/>
    </row>
    <row r="143" spans="2:13" ht="18.75" customHeight="1">
      <c r="B143" s="216" t="s">
        <v>160</v>
      </c>
      <c r="C143" s="217"/>
      <c r="D143" s="117">
        <v>117976.29</v>
      </c>
      <c r="E143" s="80"/>
      <c r="F143" s="100" t="s">
        <v>147</v>
      </c>
      <c r="G143" s="184" t="s">
        <v>149</v>
      </c>
      <c r="H143" s="184"/>
      <c r="I143" s="116">
        <v>104151.07</v>
      </c>
      <c r="J143" s="181" t="s">
        <v>164</v>
      </c>
      <c r="K143" s="181"/>
      <c r="L143" s="181"/>
      <c r="M143" s="181"/>
    </row>
    <row r="144" spans="7:12" ht="9.75" customHeight="1">
      <c r="G144" s="218"/>
      <c r="H144" s="218"/>
      <c r="I144" s="98"/>
      <c r="J144" s="99"/>
      <c r="K144" s="99"/>
      <c r="L144" s="99"/>
    </row>
    <row r="145" spans="2:12" ht="22.5" customHeight="1">
      <c r="B145" s="219" t="s">
        <v>169</v>
      </c>
      <c r="C145" s="220"/>
      <c r="D145" s="119">
        <v>41386</v>
      </c>
      <c r="E145" s="77" t="s">
        <v>104</v>
      </c>
      <c r="G145" s="218"/>
      <c r="H145" s="218"/>
      <c r="I145" s="98"/>
      <c r="J145" s="99"/>
      <c r="K145" s="99"/>
      <c r="L145" s="99"/>
    </row>
    <row r="146" spans="4:15" ht="15.75">
      <c r="D146" s="114"/>
      <c r="N146" s="218"/>
      <c r="O146" s="218"/>
    </row>
    <row r="147" spans="4:15" ht="15.75">
      <c r="D147" s="113"/>
      <c r="I147" s="39"/>
      <c r="N147" s="221"/>
      <c r="O147" s="221"/>
    </row>
    <row r="148" spans="14:15" ht="15.75">
      <c r="N148" s="218"/>
      <c r="O148" s="218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5" t="s">
        <v>235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26"/>
      <c r="R1" s="127"/>
    </row>
    <row r="2" spans="2:18" s="1" customFormat="1" ht="15.75" customHeight="1">
      <c r="B2" s="186"/>
      <c r="C2" s="186"/>
      <c r="D2" s="18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7"/>
      <c r="B3" s="189"/>
      <c r="C3" s="190" t="s">
        <v>0</v>
      </c>
      <c r="D3" s="191" t="s">
        <v>224</v>
      </c>
      <c r="E3" s="191"/>
      <c r="F3" s="192" t="s">
        <v>107</v>
      </c>
      <c r="G3" s="193"/>
      <c r="H3" s="193"/>
      <c r="I3" s="193"/>
      <c r="J3" s="193"/>
      <c r="K3" s="193"/>
      <c r="L3" s="194"/>
      <c r="M3" s="195" t="s">
        <v>225</v>
      </c>
      <c r="N3" s="197" t="s">
        <v>233</v>
      </c>
      <c r="O3" s="197"/>
      <c r="P3" s="197"/>
      <c r="Q3" s="197"/>
      <c r="R3" s="197"/>
    </row>
    <row r="4" spans="1:18" ht="22.5" customHeight="1">
      <c r="A4" s="187"/>
      <c r="B4" s="189"/>
      <c r="C4" s="190"/>
      <c r="D4" s="191"/>
      <c r="E4" s="191"/>
      <c r="F4" s="198" t="s">
        <v>116</v>
      </c>
      <c r="G4" s="200" t="s">
        <v>229</v>
      </c>
      <c r="H4" s="202" t="s">
        <v>230</v>
      </c>
      <c r="I4" s="204" t="s">
        <v>188</v>
      </c>
      <c r="J4" s="206" t="s">
        <v>189</v>
      </c>
      <c r="K4" s="208" t="s">
        <v>231</v>
      </c>
      <c r="L4" s="209"/>
      <c r="M4" s="196"/>
      <c r="N4" s="212" t="s">
        <v>236</v>
      </c>
      <c r="O4" s="204" t="s">
        <v>136</v>
      </c>
      <c r="P4" s="204" t="s">
        <v>135</v>
      </c>
      <c r="Q4" s="208" t="s">
        <v>234</v>
      </c>
      <c r="R4" s="209"/>
    </row>
    <row r="5" spans="1:18" ht="82.5" customHeight="1">
      <c r="A5" s="188"/>
      <c r="B5" s="189"/>
      <c r="C5" s="190"/>
      <c r="D5" s="150" t="s">
        <v>209</v>
      </c>
      <c r="E5" s="158" t="s">
        <v>228</v>
      </c>
      <c r="F5" s="199"/>
      <c r="G5" s="201"/>
      <c r="H5" s="203"/>
      <c r="I5" s="205"/>
      <c r="J5" s="207"/>
      <c r="K5" s="210"/>
      <c r="L5" s="211"/>
      <c r="M5" s="151" t="s">
        <v>232</v>
      </c>
      <c r="N5" s="213"/>
      <c r="O5" s="205"/>
      <c r="P5" s="205"/>
      <c r="Q5" s="210"/>
      <c r="R5" s="21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83"/>
      <c r="O138" s="183"/>
    </row>
    <row r="139" spans="3:15" ht="15.75">
      <c r="C139" s="120">
        <v>41788</v>
      </c>
      <c r="D139" s="39">
        <v>5993.3</v>
      </c>
      <c r="F139" s="4" t="s">
        <v>166</v>
      </c>
      <c r="G139" s="184" t="s">
        <v>151</v>
      </c>
      <c r="H139" s="184"/>
      <c r="I139" s="115">
        <v>13825.22196</v>
      </c>
      <c r="J139" s="181" t="s">
        <v>161</v>
      </c>
      <c r="K139" s="181"/>
      <c r="L139" s="181"/>
      <c r="M139" s="181"/>
      <c r="N139" s="183"/>
      <c r="O139" s="183"/>
    </row>
    <row r="140" spans="3:15" ht="15.75">
      <c r="C140" s="120">
        <v>41787</v>
      </c>
      <c r="D140" s="39">
        <v>2595.2</v>
      </c>
      <c r="G140" s="214" t="s">
        <v>155</v>
      </c>
      <c r="H140" s="214"/>
      <c r="I140" s="112">
        <v>0</v>
      </c>
      <c r="J140" s="215" t="s">
        <v>162</v>
      </c>
      <c r="K140" s="215"/>
      <c r="L140" s="215"/>
      <c r="M140" s="215"/>
      <c r="N140" s="183"/>
      <c r="O140" s="183"/>
    </row>
    <row r="141" spans="7:13" ht="15.75" customHeight="1">
      <c r="G141" s="184" t="s">
        <v>148</v>
      </c>
      <c r="H141" s="184"/>
      <c r="I141" s="112">
        <v>0</v>
      </c>
      <c r="J141" s="181" t="s">
        <v>163</v>
      </c>
      <c r="K141" s="181"/>
      <c r="L141" s="181"/>
      <c r="M141" s="181"/>
    </row>
    <row r="142" spans="2:13" ht="18.75" customHeight="1">
      <c r="B142" s="216" t="s">
        <v>160</v>
      </c>
      <c r="C142" s="217"/>
      <c r="D142" s="117">
        <v>118982.48</v>
      </c>
      <c r="E142" s="80"/>
      <c r="F142" s="100" t="s">
        <v>147</v>
      </c>
      <c r="G142" s="184" t="s">
        <v>149</v>
      </c>
      <c r="H142" s="184"/>
      <c r="I142" s="116">
        <v>105157.26</v>
      </c>
      <c r="J142" s="181" t="s">
        <v>164</v>
      </c>
      <c r="K142" s="181"/>
      <c r="L142" s="181"/>
      <c r="M142" s="181"/>
    </row>
    <row r="143" spans="7:12" ht="9.75" customHeight="1">
      <c r="G143" s="218"/>
      <c r="H143" s="218"/>
      <c r="I143" s="98"/>
      <c r="J143" s="99"/>
      <c r="K143" s="99"/>
      <c r="L143" s="99"/>
    </row>
    <row r="144" spans="2:12" ht="22.5" customHeight="1">
      <c r="B144" s="219" t="s">
        <v>169</v>
      </c>
      <c r="C144" s="220"/>
      <c r="D144" s="119">
        <v>27359.4</v>
      </c>
      <c r="E144" s="77" t="s">
        <v>104</v>
      </c>
      <c r="G144" s="218"/>
      <c r="H144" s="218"/>
      <c r="I144" s="98"/>
      <c r="J144" s="99"/>
      <c r="K144" s="99"/>
      <c r="L144" s="99"/>
    </row>
    <row r="145" spans="4:15" ht="15.75">
      <c r="D145" s="114"/>
      <c r="N145" s="218"/>
      <c r="O145" s="218"/>
    </row>
    <row r="146" spans="4:15" ht="15.75">
      <c r="D146" s="113"/>
      <c r="I146" s="39"/>
      <c r="N146" s="221"/>
      <c r="O146" s="221"/>
    </row>
    <row r="147" spans="14:15" ht="15.75">
      <c r="N147" s="218"/>
      <c r="O147" s="218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5" t="s">
        <v>226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26"/>
      <c r="R1" s="127"/>
    </row>
    <row r="2" spans="2:18" s="1" customFormat="1" ht="15.75" customHeight="1">
      <c r="B2" s="186"/>
      <c r="C2" s="186"/>
      <c r="D2" s="18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7"/>
      <c r="B3" s="189"/>
      <c r="C3" s="190" t="s">
        <v>0</v>
      </c>
      <c r="D3" s="191" t="s">
        <v>224</v>
      </c>
      <c r="E3" s="191"/>
      <c r="F3" s="192" t="s">
        <v>107</v>
      </c>
      <c r="G3" s="193"/>
      <c r="H3" s="193"/>
      <c r="I3" s="193"/>
      <c r="J3" s="193"/>
      <c r="K3" s="193"/>
      <c r="L3" s="194"/>
      <c r="M3" s="195" t="s">
        <v>225</v>
      </c>
      <c r="N3" s="197" t="s">
        <v>221</v>
      </c>
      <c r="O3" s="197"/>
      <c r="P3" s="197"/>
      <c r="Q3" s="197"/>
      <c r="R3" s="197"/>
    </row>
    <row r="4" spans="1:18" ht="22.5" customHeight="1">
      <c r="A4" s="187"/>
      <c r="B4" s="189"/>
      <c r="C4" s="190"/>
      <c r="D4" s="191"/>
      <c r="E4" s="191"/>
      <c r="F4" s="198" t="s">
        <v>116</v>
      </c>
      <c r="G4" s="200" t="s">
        <v>217</v>
      </c>
      <c r="H4" s="202" t="s">
        <v>218</v>
      </c>
      <c r="I4" s="204" t="s">
        <v>188</v>
      </c>
      <c r="J4" s="206" t="s">
        <v>189</v>
      </c>
      <c r="K4" s="208" t="s">
        <v>219</v>
      </c>
      <c r="L4" s="209"/>
      <c r="M4" s="196"/>
      <c r="N4" s="212" t="s">
        <v>227</v>
      </c>
      <c r="O4" s="204" t="s">
        <v>136</v>
      </c>
      <c r="P4" s="204" t="s">
        <v>135</v>
      </c>
      <c r="Q4" s="208" t="s">
        <v>222</v>
      </c>
      <c r="R4" s="209"/>
    </row>
    <row r="5" spans="1:18" ht="82.5" customHeight="1">
      <c r="A5" s="188"/>
      <c r="B5" s="189"/>
      <c r="C5" s="190"/>
      <c r="D5" s="150" t="s">
        <v>209</v>
      </c>
      <c r="E5" s="158" t="s">
        <v>216</v>
      </c>
      <c r="F5" s="199"/>
      <c r="G5" s="201"/>
      <c r="H5" s="203"/>
      <c r="I5" s="205"/>
      <c r="J5" s="207"/>
      <c r="K5" s="210"/>
      <c r="L5" s="211"/>
      <c r="M5" s="151" t="s">
        <v>220</v>
      </c>
      <c r="N5" s="213"/>
      <c r="O5" s="205"/>
      <c r="P5" s="205"/>
      <c r="Q5" s="210"/>
      <c r="R5" s="21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83"/>
      <c r="O138" s="183"/>
    </row>
    <row r="139" spans="3:15" ht="15.75">
      <c r="C139" s="120">
        <v>41758</v>
      </c>
      <c r="D139" s="39">
        <v>5440.9</v>
      </c>
      <c r="F139" s="4" t="s">
        <v>166</v>
      </c>
      <c r="G139" s="184" t="s">
        <v>151</v>
      </c>
      <c r="H139" s="184"/>
      <c r="I139" s="115">
        <v>13825.22</v>
      </c>
      <c r="J139" s="181" t="s">
        <v>161</v>
      </c>
      <c r="K139" s="181"/>
      <c r="L139" s="181"/>
      <c r="M139" s="181"/>
      <c r="N139" s="183"/>
      <c r="O139" s="183"/>
    </row>
    <row r="140" spans="3:15" ht="15.75">
      <c r="C140" s="120">
        <v>41757</v>
      </c>
      <c r="D140" s="39">
        <v>1923.2</v>
      </c>
      <c r="G140" s="214" t="s">
        <v>155</v>
      </c>
      <c r="H140" s="214"/>
      <c r="I140" s="112">
        <v>0</v>
      </c>
      <c r="J140" s="215" t="s">
        <v>162</v>
      </c>
      <c r="K140" s="215"/>
      <c r="L140" s="215"/>
      <c r="M140" s="215"/>
      <c r="N140" s="183"/>
      <c r="O140" s="183"/>
    </row>
    <row r="141" spans="7:13" ht="15.75" customHeight="1">
      <c r="G141" s="184" t="s">
        <v>148</v>
      </c>
      <c r="H141" s="184"/>
      <c r="I141" s="112">
        <v>0</v>
      </c>
      <c r="J141" s="181" t="s">
        <v>163</v>
      </c>
      <c r="K141" s="181"/>
      <c r="L141" s="181"/>
      <c r="M141" s="181"/>
    </row>
    <row r="142" spans="2:13" ht="18.75" customHeight="1">
      <c r="B142" s="216" t="s">
        <v>160</v>
      </c>
      <c r="C142" s="217"/>
      <c r="D142" s="117">
        <v>123251.48</v>
      </c>
      <c r="E142" s="80"/>
      <c r="F142" s="100" t="s">
        <v>147</v>
      </c>
      <c r="G142" s="184" t="s">
        <v>149</v>
      </c>
      <c r="H142" s="184"/>
      <c r="I142" s="116">
        <v>109426.25</v>
      </c>
      <c r="J142" s="181" t="s">
        <v>164</v>
      </c>
      <c r="K142" s="181"/>
      <c r="L142" s="181"/>
      <c r="M142" s="181"/>
    </row>
    <row r="143" spans="7:12" ht="9.75" customHeight="1">
      <c r="G143" s="218"/>
      <c r="H143" s="218"/>
      <c r="I143" s="98"/>
      <c r="J143" s="99"/>
      <c r="K143" s="99"/>
      <c r="L143" s="99"/>
    </row>
    <row r="144" spans="2:12" ht="22.5" customHeight="1">
      <c r="B144" s="219" t="s">
        <v>169</v>
      </c>
      <c r="C144" s="220"/>
      <c r="D144" s="119">
        <f>'[1]надх'!$B$52/1000</f>
        <v>0</v>
      </c>
      <c r="E144" s="77" t="s">
        <v>104</v>
      </c>
      <c r="G144" s="218"/>
      <c r="H144" s="218"/>
      <c r="I144" s="98"/>
      <c r="J144" s="99"/>
      <c r="K144" s="99"/>
      <c r="L144" s="99"/>
    </row>
    <row r="145" spans="4:15" ht="15.75">
      <c r="D145" s="114"/>
      <c r="N145" s="218"/>
      <c r="O145" s="218"/>
    </row>
    <row r="146" spans="4:15" ht="15.75">
      <c r="D146" s="113"/>
      <c r="I146" s="39"/>
      <c r="N146" s="221"/>
      <c r="O146" s="221"/>
    </row>
    <row r="147" spans="14:15" ht="15.75">
      <c r="N147" s="218"/>
      <c r="O147" s="218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2014-12-24T08:26:23Z</cp:lastPrinted>
  <dcterms:created xsi:type="dcterms:W3CDTF">2003-07-28T11:27:56Z</dcterms:created>
  <dcterms:modified xsi:type="dcterms:W3CDTF">2014-12-24T08:37:47Z</dcterms:modified>
  <cp:category/>
  <cp:version/>
  <cp:contentType/>
  <cp:contentStatus/>
</cp:coreProperties>
</file>